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-135" windowWidth="18090" windowHeight="12540" activeTab="9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  <sheet name="รวมมหาราช" sheetId="34" r:id="rId13"/>
    <sheet name="รวมบ้านแพรก" sheetId="35" r:id="rId14"/>
    <sheet name="รวมบางบาล" sheetId="36" r:id="rId15"/>
  </sheets>
  <calcPr calcId="144525"/>
</workbook>
</file>

<file path=xl/calcChain.xml><?xml version="1.0" encoding="utf-8"?>
<calcChain xmlns="http://schemas.openxmlformats.org/spreadsheetml/2006/main">
  <c r="O13" i="36" l="1"/>
  <c r="M13" i="36"/>
  <c r="N13" i="36" s="1"/>
  <c r="K13" i="36"/>
  <c r="L13" i="36" s="1"/>
  <c r="J13" i="36"/>
  <c r="G13" i="36"/>
  <c r="O12" i="36"/>
  <c r="M12" i="36"/>
  <c r="N12" i="36" s="1"/>
  <c r="K12" i="36"/>
  <c r="L12" i="36" s="1"/>
  <c r="J12" i="36"/>
  <c r="G12" i="36"/>
  <c r="O11" i="36"/>
  <c r="M11" i="36"/>
  <c r="N11" i="36" s="1"/>
  <c r="K11" i="36"/>
  <c r="L11" i="36" s="1"/>
  <c r="J11" i="36"/>
  <c r="G11" i="36"/>
  <c r="O10" i="36"/>
  <c r="M10" i="36"/>
  <c r="N10" i="36" s="1"/>
  <c r="K10" i="36"/>
  <c r="L10" i="36" s="1"/>
  <c r="J10" i="36"/>
  <c r="G10" i="36"/>
  <c r="O9" i="36"/>
  <c r="M9" i="36"/>
  <c r="N9" i="36" s="1"/>
  <c r="K9" i="36"/>
  <c r="L9" i="36" s="1"/>
  <c r="J9" i="36"/>
  <c r="G9" i="36"/>
  <c r="O8" i="36"/>
  <c r="M8" i="36"/>
  <c r="N8" i="36" s="1"/>
  <c r="K8" i="36"/>
  <c r="L8" i="36" s="1"/>
  <c r="J8" i="36"/>
  <c r="G8" i="36"/>
  <c r="O7" i="36"/>
  <c r="M7" i="36"/>
  <c r="N7" i="36" s="1"/>
  <c r="L7" i="36"/>
  <c r="K7" i="36"/>
  <c r="J7" i="36"/>
  <c r="G7" i="36"/>
  <c r="O6" i="36"/>
  <c r="M6" i="36"/>
  <c r="N6" i="36" s="1"/>
  <c r="K6" i="36"/>
  <c r="L6" i="36" s="1"/>
  <c r="J6" i="36"/>
  <c r="G6" i="36"/>
  <c r="M5" i="36"/>
  <c r="L5" i="36"/>
  <c r="K5" i="36"/>
  <c r="J5" i="36"/>
  <c r="G5" i="36"/>
  <c r="N5" i="36" s="1"/>
  <c r="M17" i="36"/>
  <c r="O16" i="36"/>
  <c r="M16" i="36"/>
  <c r="L16" i="36"/>
  <c r="O15" i="36"/>
  <c r="M15" i="36"/>
  <c r="L15" i="36"/>
  <c r="O14" i="36"/>
  <c r="M14" i="36"/>
  <c r="L14" i="36"/>
  <c r="O12" i="35" l="1"/>
  <c r="M12" i="35"/>
  <c r="N12" i="35" s="1"/>
  <c r="K12" i="35"/>
  <c r="L12" i="35" s="1"/>
  <c r="J12" i="35"/>
  <c r="G12" i="35"/>
  <c r="O11" i="35"/>
  <c r="M11" i="35"/>
  <c r="N11" i="35" s="1"/>
  <c r="K11" i="35"/>
  <c r="L11" i="35" s="1"/>
  <c r="J11" i="35"/>
  <c r="G11" i="35"/>
  <c r="O10" i="35"/>
  <c r="M10" i="35"/>
  <c r="N10" i="35" s="1"/>
  <c r="K10" i="35"/>
  <c r="L10" i="35" s="1"/>
  <c r="J10" i="35"/>
  <c r="G10" i="35"/>
  <c r="O9" i="35"/>
  <c r="M9" i="35"/>
  <c r="N9" i="35" s="1"/>
  <c r="K9" i="35"/>
  <c r="L9" i="35" s="1"/>
  <c r="J9" i="35"/>
  <c r="G9" i="35"/>
  <c r="O8" i="35"/>
  <c r="M8" i="35"/>
  <c r="N8" i="35" s="1"/>
  <c r="K8" i="35"/>
  <c r="L8" i="35" s="1"/>
  <c r="J8" i="35"/>
  <c r="G8" i="35"/>
  <c r="O7" i="35"/>
  <c r="M7" i="35"/>
  <c r="N7" i="35" s="1"/>
  <c r="K7" i="35"/>
  <c r="L7" i="35" s="1"/>
  <c r="J7" i="35"/>
  <c r="G7" i="35"/>
  <c r="O6" i="35"/>
  <c r="M6" i="35"/>
  <c r="N6" i="35" s="1"/>
  <c r="K6" i="35"/>
  <c r="L6" i="35" s="1"/>
  <c r="J6" i="35"/>
  <c r="G6" i="35"/>
  <c r="M5" i="35"/>
  <c r="N5" i="35" s="1"/>
  <c r="L5" i="35"/>
  <c r="K5" i="35"/>
  <c r="J5" i="35"/>
  <c r="G5" i="35"/>
  <c r="M17" i="35"/>
  <c r="O16" i="35"/>
  <c r="M16" i="35"/>
  <c r="L16" i="35"/>
  <c r="O15" i="35"/>
  <c r="M15" i="35"/>
  <c r="L15" i="35"/>
  <c r="O14" i="35"/>
  <c r="M14" i="35"/>
  <c r="L14" i="35"/>
  <c r="O13" i="35"/>
  <c r="M13" i="35"/>
  <c r="L13" i="35"/>
  <c r="M17" i="34" l="1"/>
  <c r="O16" i="34"/>
  <c r="M16" i="34"/>
  <c r="K16" i="34"/>
  <c r="L16" i="34" s="1"/>
  <c r="J16" i="34"/>
  <c r="G16" i="34"/>
  <c r="N16" i="34" s="1"/>
  <c r="O15" i="34"/>
  <c r="M15" i="34"/>
  <c r="K15" i="34"/>
  <c r="L15" i="34" s="1"/>
  <c r="J15" i="34"/>
  <c r="G15" i="34"/>
  <c r="O14" i="34"/>
  <c r="M14" i="34"/>
  <c r="K14" i="34"/>
  <c r="L14" i="34" s="1"/>
  <c r="J14" i="34"/>
  <c r="G14" i="34"/>
  <c r="N14" i="34" s="1"/>
  <c r="O13" i="34"/>
  <c r="M13" i="34"/>
  <c r="K13" i="34"/>
  <c r="L13" i="34" s="1"/>
  <c r="J13" i="34"/>
  <c r="G13" i="34"/>
  <c r="N13" i="34" s="1"/>
  <c r="N15" i="34" l="1"/>
  <c r="K16" i="23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M21" i="31"/>
  <c r="L20" i="31"/>
  <c r="J20" i="31"/>
  <c r="G20" i="31"/>
  <c r="L19" i="31"/>
  <c r="J19" i="31"/>
  <c r="G19" i="31"/>
  <c r="N19" i="31" s="1"/>
  <c r="L18" i="31"/>
  <c r="J18" i="31"/>
  <c r="G18" i="31"/>
  <c r="L17" i="31"/>
  <c r="J17" i="31"/>
  <c r="G17" i="31"/>
  <c r="N17" i="31" s="1"/>
  <c r="N16" i="31"/>
  <c r="L16" i="31"/>
  <c r="J16" i="31"/>
  <c r="G16" i="31"/>
  <c r="N15" i="31"/>
  <c r="L15" i="31"/>
  <c r="J15" i="31"/>
  <c r="G15" i="31"/>
  <c r="N14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L9" i="31"/>
  <c r="J9" i="31"/>
  <c r="G9" i="31"/>
  <c r="N8" i="31"/>
  <c r="L8" i="31"/>
  <c r="J8" i="31"/>
  <c r="G8" i="31"/>
  <c r="N7" i="31"/>
  <c r="L7" i="31"/>
  <c r="J7" i="31"/>
  <c r="G7" i="31"/>
  <c r="N6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O9" i="31" s="1"/>
  <c r="L8" i="30"/>
  <c r="J8" i="30"/>
  <c r="G8" i="30"/>
  <c r="L7" i="30"/>
  <c r="J7" i="30"/>
  <c r="G7" i="30"/>
  <c r="N7" i="30" s="1"/>
  <c r="O7" i="31" s="1"/>
  <c r="L6" i="30"/>
  <c r="J6" i="30"/>
  <c r="G6" i="30"/>
  <c r="N6" i="30" s="1"/>
  <c r="O6" i="31" s="1"/>
  <c r="N5" i="30"/>
  <c r="O5" i="31" s="1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N20" i="29" s="1"/>
  <c r="O20" i="30" s="1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N12" i="29" s="1"/>
  <c r="O12" i="30" s="1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N5" i="29" s="1"/>
  <c r="O5" i="30" s="1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5" i="29" s="1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N12" i="28" s="1"/>
  <c r="O12" i="29" s="1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N13" i="27" s="1"/>
  <c r="O13" i="28" s="1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9" i="30" l="1"/>
  <c r="O19" i="31" s="1"/>
  <c r="N16" i="30"/>
  <c r="O16" i="31" s="1"/>
  <c r="N15" i="30"/>
  <c r="O15" i="31" s="1"/>
  <c r="N14" i="30"/>
  <c r="O14" i="31" s="1"/>
  <c r="N13" i="30"/>
  <c r="O13" i="31" s="1"/>
  <c r="N12" i="30"/>
  <c r="O12" i="31" s="1"/>
  <c r="N11" i="30"/>
  <c r="O11" i="31" s="1"/>
  <c r="N10" i="30"/>
  <c r="O10" i="31" s="1"/>
  <c r="N8" i="30"/>
  <c r="O8" i="31" s="1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N18" i="31"/>
  <c r="N11" i="31"/>
  <c r="N20" i="31"/>
  <c r="N12" i="31"/>
  <c r="N17" i="30"/>
  <c r="O17" i="31" s="1"/>
  <c r="N20" i="30"/>
  <c r="O20" i="31" s="1"/>
  <c r="N18" i="30"/>
  <c r="O18" i="31" s="1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<sst xmlns="http://schemas.openxmlformats.org/spreadsheetml/2006/main" count="955" uniqueCount="97">
  <si>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</si>
  <si>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</si>
  <si>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</si>
  <si>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</si>
  <si>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</si>
  <si>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</si>
  <si>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</si>
  <si>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</si>
  <si>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</si>
  <si>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</si>
  <si>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</si>
  <si>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</si>
  <si>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</si>
  <si>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</si>
  <si>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</si>
  <si>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</si>
  <si>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</si>
  <si>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</si>
  <si>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</si>
  <si>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</si>
  <si>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</si>
  <si>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</si>
  <si>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</si>
  <si>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</si>
  <si>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</si>
  <si>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</si>
  <si>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</si>
  <si>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</si>
  <si>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</si>
  <si>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</si>
  <si>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</si>
  <si>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</si>
  <si>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</si>
  <si>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</si>
  <si>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</si>
  <si>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</si>
  <si>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</si>
  <si>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</si>
  <si>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</si>
  <si>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</si>
  <si>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</si>
  <si>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</si>
  <si>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</si>
  <si>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</si>
  <si>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</si>
  <si>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</si>
  <si>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</si>
  <si>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</si>
  <si>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</si>
  <si>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</si>
  <si>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</si>
  <si>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</si>
  <si>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</si>
  <si>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</si>
  <si>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</si>
  <si>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</si>
  <si>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</si>
  <si>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</si>
  <si>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</si>
  <si>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</si>
  <si>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</si>
  <si>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</si>
  <si>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</si>
  <si>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</si>
  <si>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</si>
  <si>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</si>
  <si>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</si>
  <si>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</si>
  <si>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</si>
  <si>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</si>
  <si>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</si>
  <si>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</si>
  <si>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</si>
  <si>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</si>
  <si>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</si>
  <si>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</si>
  <si>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</si>
  <si>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</si>
  <si>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</si>
  <si>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</si>
  <si>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</si>
  <si>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</si>
  <si>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</si>
  <si>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</si>
  <si>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</si>
  <si>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</si>
  <si>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</si>
  <si>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</si>
  <si>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</si>
  <si>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</si>
  <si>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</si>
  <si>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</si>
  <si>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</si>
  <si>
    <t>ผลการประเมินภาวะวิกฤติ โรงพยาบาลมหาราช ปีงบประมาณ 2563</t>
  </si>
  <si>
    <t xml:space="preserve">Risk Scoring </t>
  </si>
  <si>
    <t>ผลการประเมินภาวะวิกฤติ โรงพยาบาลบ้านแพรก ปีงบประมาณ 2563</t>
  </si>
  <si>
    <t>ผลการประเมินภาวะวิกฤติ โรงพยาบาลบางบาล 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</si>
</sst>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17" fontId="4" fillId="0" borderId="14" xfId="0" applyNumberFormat="1" applyFont="1" applyBorder="1" applyAlignment="1">
      <alignment horizontal="center" vertical="center" wrapText="1" readingOrder="1"/>
    </xf>
    <xf numFmtId="17" fontId="4" fillId="0" borderId="14" xfId="0" applyNumberFormat="1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27" fillId="0" borderId="14" xfId="4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26" fillId="0" borderId="25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3" t="s">
        <v>56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63" t="s">
        <v>53</v>
      </c>
      <c r="P1" s="41">
        <v>43789</v>
      </c>
    </row>
    <row r="2" spans="1:25" ht="54.75" customHeight="1" thickBot="1">
      <c r="C2" s="114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57</v>
      </c>
      <c r="O2" s="137" t="s">
        <v>58</v>
      </c>
      <c r="P2" s="134" t="s">
        <v>92</v>
      </c>
      <c r="Q2" s="123" t="s">
        <v>37</v>
      </c>
    </row>
    <row r="3" spans="1:25" ht="38.25" customHeight="1" thickBot="1">
      <c r="C3" s="114"/>
      <c r="D3" s="124" t="s">
        <v>36</v>
      </c>
      <c r="E3" s="124" t="s">
        <v>35</v>
      </c>
      <c r="F3" s="124" t="s">
        <v>34</v>
      </c>
      <c r="G3" s="126" t="s">
        <v>29</v>
      </c>
      <c r="H3" s="128" t="s">
        <v>33</v>
      </c>
      <c r="I3" s="114" t="s">
        <v>32</v>
      </c>
      <c r="J3" s="130" t="s">
        <v>29</v>
      </c>
      <c r="K3" s="132" t="s">
        <v>31</v>
      </c>
      <c r="L3" s="114" t="s">
        <v>30</v>
      </c>
      <c r="M3" s="121" t="s">
        <v>29</v>
      </c>
      <c r="N3" s="119"/>
      <c r="O3" s="137"/>
      <c r="P3" s="134"/>
      <c r="Q3" s="123"/>
    </row>
    <row r="4" spans="1:25" ht="36.75" customHeight="1" thickBot="1">
      <c r="C4" s="115"/>
      <c r="D4" s="125"/>
      <c r="E4" s="125"/>
      <c r="F4" s="125"/>
      <c r="G4" s="127"/>
      <c r="H4" s="129"/>
      <c r="I4" s="115"/>
      <c r="J4" s="131"/>
      <c r="K4" s="133"/>
      <c r="L4" s="115"/>
      <c r="M4" s="122"/>
      <c r="N4" s="120"/>
      <c r="O4" s="137"/>
      <c r="P4" s="134"/>
      <c r="Q4" s="12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J10" sqref="J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8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5" t="s">
        <v>83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63" t="s">
        <v>53</v>
      </c>
      <c r="P1" s="92">
        <v>242386</v>
      </c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84</v>
      </c>
      <c r="O2" s="154" t="s">
        <v>85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2.5</v>
      </c>
      <c r="E5" s="57">
        <v>2.31</v>
      </c>
      <c r="F5" s="57">
        <v>0.97</v>
      </c>
      <c r="G5" s="47">
        <f t="shared" ref="G5:G20" si="0">(IF(D5&lt;1.5,1,0))+(IF(E5&lt;1,1,0))+(IF(F5&lt;0.8,1,0))</f>
        <v>0</v>
      </c>
      <c r="H5" s="53">
        <v>382988788.38</v>
      </c>
      <c r="I5" s="68">
        <v>-95640323.209999993</v>
      </c>
      <c r="J5" s="42">
        <f t="shared" ref="J5:J20" si="1">IF(I5&lt;0,1,0)+IF(H5&lt;0,1,0)</f>
        <v>1</v>
      </c>
      <c r="K5" s="59">
        <f>SUM(I5/10)</f>
        <v>-9564032.3209999986</v>
      </c>
      <c r="L5" s="45">
        <f>+H5/K5</f>
        <v>-40.044698253378066</v>
      </c>
      <c r="M5" s="43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1</v>
      </c>
      <c r="O5" s="46">
        <f>มิ.ย.63!N5</f>
        <v>0</v>
      </c>
      <c r="P5" s="68">
        <v>-34815478.25</v>
      </c>
      <c r="Q5" s="68">
        <v>-5720932.7699999996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98">
        <v>0.71</v>
      </c>
      <c r="F6" s="98">
        <v>0.51</v>
      </c>
      <c r="G6" s="55">
        <f t="shared" si="0"/>
        <v>3</v>
      </c>
      <c r="H6" s="68">
        <v>-39394310.049999997</v>
      </c>
      <c r="I6" s="68">
        <v>-682907.37</v>
      </c>
      <c r="J6" s="55">
        <f>IF(I6&lt;0,1,0)+IF(H6&lt;0,1,0)</f>
        <v>2</v>
      </c>
      <c r="K6" s="59">
        <f t="shared" ref="K6:K20" si="3">SUM(I6/10)</f>
        <v>-68290.736999999994</v>
      </c>
      <c r="L6" s="45">
        <f>+H6/K6</f>
        <v>576.86169135940065</v>
      </c>
      <c r="M6" s="42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2</v>
      </c>
      <c r="N6" s="46">
        <f>SUM(G6+J6+M6)</f>
        <v>7</v>
      </c>
      <c r="O6" s="46">
        <f>มิ.ย.63!N6</f>
        <v>6</v>
      </c>
      <c r="P6" s="100">
        <v>26651035.670000002</v>
      </c>
      <c r="Q6" s="68">
        <v>-83896647.25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1.23</v>
      </c>
      <c r="E7" s="98">
        <v>0.99</v>
      </c>
      <c r="F7" s="98">
        <v>0.72</v>
      </c>
      <c r="G7" s="42">
        <f t="shared" si="0"/>
        <v>3</v>
      </c>
      <c r="H7" s="53">
        <v>6568992.1200000001</v>
      </c>
      <c r="I7" s="53">
        <v>2188985.39</v>
      </c>
      <c r="J7" s="47">
        <f t="shared" si="1"/>
        <v>0</v>
      </c>
      <c r="K7" s="51">
        <f t="shared" si="3"/>
        <v>218898.53900000002</v>
      </c>
      <c r="L7" s="45">
        <f t="shared" ref="L7:L20" si="5">+H7/K7</f>
        <v>30.009300884369992</v>
      </c>
      <c r="M7" s="43">
        <f t="shared" si="4"/>
        <v>0</v>
      </c>
      <c r="N7" s="46">
        <f t="shared" si="2"/>
        <v>3</v>
      </c>
      <c r="O7" s="46">
        <f>มิ.ย.63!N7</f>
        <v>3</v>
      </c>
      <c r="P7" s="100">
        <v>3587412.29</v>
      </c>
      <c r="Q7" s="68">
        <v>-8318690.4699999997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1.93</v>
      </c>
      <c r="E8" s="57">
        <v>1.58</v>
      </c>
      <c r="F8" s="57">
        <v>1.1000000000000001</v>
      </c>
      <c r="G8" s="66">
        <f t="shared" si="0"/>
        <v>0</v>
      </c>
      <c r="H8" s="53">
        <v>10791683.529999999</v>
      </c>
      <c r="I8" s="68">
        <v>-5803126.7800000003</v>
      </c>
      <c r="J8" s="55">
        <f t="shared" si="1"/>
        <v>1</v>
      </c>
      <c r="K8" s="59">
        <f t="shared" si="3"/>
        <v>-580312.67800000007</v>
      </c>
      <c r="L8" s="45">
        <f t="shared" si="5"/>
        <v>-18.596325634643463</v>
      </c>
      <c r="M8" s="43">
        <f t="shared" si="4"/>
        <v>0</v>
      </c>
      <c r="N8" s="46">
        <f t="shared" si="2"/>
        <v>1</v>
      </c>
      <c r="O8" s="46">
        <f>มิ.ย.63!N8</f>
        <v>1</v>
      </c>
      <c r="P8" s="100">
        <v>2601750.63</v>
      </c>
      <c r="Q8" s="53">
        <v>1177340.42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1.85</v>
      </c>
      <c r="E9" s="57">
        <v>1.6</v>
      </c>
      <c r="F9" s="57">
        <v>1.34</v>
      </c>
      <c r="G9" s="47">
        <f t="shared" si="0"/>
        <v>0</v>
      </c>
      <c r="H9" s="53">
        <v>15206990.720000001</v>
      </c>
      <c r="I9" s="53">
        <v>5963608.2999999998</v>
      </c>
      <c r="J9" s="47">
        <f t="shared" si="1"/>
        <v>0</v>
      </c>
      <c r="K9" s="51">
        <f t="shared" si="3"/>
        <v>596360.82999999996</v>
      </c>
      <c r="L9" s="45">
        <f t="shared" si="5"/>
        <v>25.499647118004049</v>
      </c>
      <c r="M9" s="43">
        <f t="shared" si="4"/>
        <v>0</v>
      </c>
      <c r="N9" s="46">
        <f t="shared" si="2"/>
        <v>0</v>
      </c>
      <c r="O9" s="46">
        <f>มิ.ย.63!N9</f>
        <v>0</v>
      </c>
      <c r="P9" s="100">
        <v>8194631.4000000004</v>
      </c>
      <c r="Q9" s="53">
        <v>5979507.3399999999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8">
        <v>1.44</v>
      </c>
      <c r="E10" s="57">
        <v>1.32</v>
      </c>
      <c r="F10" s="57">
        <v>1.1100000000000001</v>
      </c>
      <c r="G10" s="42">
        <f t="shared" si="0"/>
        <v>1</v>
      </c>
      <c r="H10" s="53">
        <v>7607198.0899999999</v>
      </c>
      <c r="I10" s="53">
        <v>3507648.51</v>
      </c>
      <c r="J10" s="47">
        <f t="shared" si="1"/>
        <v>0</v>
      </c>
      <c r="K10" s="51">
        <f t="shared" si="3"/>
        <v>350764.85099999997</v>
      </c>
      <c r="L10" s="45">
        <f t="shared" si="5"/>
        <v>21.687458330880482</v>
      </c>
      <c r="M10" s="43">
        <f t="shared" si="4"/>
        <v>0</v>
      </c>
      <c r="N10" s="46">
        <f t="shared" si="2"/>
        <v>1</v>
      </c>
      <c r="O10" s="46">
        <f>มิ.ย.63!N10</f>
        <v>1</v>
      </c>
      <c r="P10" s="100">
        <v>4709601.6500000004</v>
      </c>
      <c r="Q10" s="53">
        <v>1909070.07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98">
        <v>1.1599999999999999</v>
      </c>
      <c r="E11" s="57">
        <v>1.01</v>
      </c>
      <c r="F11" s="98">
        <v>0.67</v>
      </c>
      <c r="G11" s="42">
        <f t="shared" si="0"/>
        <v>2</v>
      </c>
      <c r="H11" s="53">
        <v>10393463.890000001</v>
      </c>
      <c r="I11" s="53">
        <v>17902508.760000002</v>
      </c>
      <c r="J11" s="47">
        <f t="shared" si="1"/>
        <v>0</v>
      </c>
      <c r="K11" s="51">
        <f t="shared" si="3"/>
        <v>1790250.8760000002</v>
      </c>
      <c r="L11" s="45">
        <f t="shared" si="5"/>
        <v>5.8055907299553251</v>
      </c>
      <c r="M11" s="43">
        <f t="shared" si="4"/>
        <v>0</v>
      </c>
      <c r="N11" s="46">
        <f t="shared" si="2"/>
        <v>2</v>
      </c>
      <c r="O11" s="46">
        <f>มิ.ย.63!N11</f>
        <v>2</v>
      </c>
      <c r="P11" s="100">
        <v>17931818.260000002</v>
      </c>
      <c r="Q11" s="68">
        <v>-21447766.210000001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8">
        <v>1.38</v>
      </c>
      <c r="E12" s="57">
        <v>1.17</v>
      </c>
      <c r="F12" s="57">
        <v>0.86</v>
      </c>
      <c r="G12" s="42">
        <f t="shared" si="0"/>
        <v>1</v>
      </c>
      <c r="H12" s="53">
        <v>10690042.66</v>
      </c>
      <c r="I12" s="53">
        <v>13837902.42</v>
      </c>
      <c r="J12" s="47">
        <f t="shared" si="1"/>
        <v>0</v>
      </c>
      <c r="K12" s="51">
        <f t="shared" si="3"/>
        <v>1383790.2420000001</v>
      </c>
      <c r="L12" s="45">
        <f t="shared" si="5"/>
        <v>7.7251900870103114</v>
      </c>
      <c r="M12" s="43">
        <f t="shared" si="4"/>
        <v>0</v>
      </c>
      <c r="N12" s="46">
        <f t="shared" si="2"/>
        <v>1</v>
      </c>
      <c r="O12" s="46">
        <f>มิ.ย.63!N12</f>
        <v>1</v>
      </c>
      <c r="P12" s="100">
        <v>5966948.1900000004</v>
      </c>
      <c r="Q12" s="68">
        <v>-4047539.92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8">
        <v>1.26</v>
      </c>
      <c r="E13" s="57">
        <v>1.18</v>
      </c>
      <c r="F13" s="57">
        <v>1.04</v>
      </c>
      <c r="G13" s="42">
        <f t="shared" si="0"/>
        <v>1</v>
      </c>
      <c r="H13" s="53">
        <v>7660785.5099999998</v>
      </c>
      <c r="I13" s="53">
        <v>2070570.06</v>
      </c>
      <c r="J13" s="47">
        <f t="shared" si="1"/>
        <v>0</v>
      </c>
      <c r="K13" s="51">
        <f t="shared" si="3"/>
        <v>207057.00599999999</v>
      </c>
      <c r="L13" s="45">
        <f t="shared" si="5"/>
        <v>36.998436604458583</v>
      </c>
      <c r="M13" s="43">
        <f t="shared" si="4"/>
        <v>0</v>
      </c>
      <c r="N13" s="46">
        <f t="shared" si="2"/>
        <v>1</v>
      </c>
      <c r="O13" s="46">
        <f>มิ.ย.63!N13</f>
        <v>1</v>
      </c>
      <c r="P13" s="100">
        <v>5774685.0300000003</v>
      </c>
      <c r="Q13" s="53">
        <v>991400.84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2.0099999999999998</v>
      </c>
      <c r="E14" s="57">
        <v>1.83</v>
      </c>
      <c r="F14" s="57">
        <v>1.36</v>
      </c>
      <c r="G14" s="47">
        <f t="shared" si="0"/>
        <v>0</v>
      </c>
      <c r="H14" s="53">
        <v>16836075.09</v>
      </c>
      <c r="I14" s="53">
        <v>7416471.2999999998</v>
      </c>
      <c r="J14" s="47">
        <f t="shared" si="1"/>
        <v>0</v>
      </c>
      <c r="K14" s="51">
        <f t="shared" si="3"/>
        <v>741647.13</v>
      </c>
      <c r="L14" s="45">
        <f t="shared" si="5"/>
        <v>22.700923942090895</v>
      </c>
      <c r="M14" s="43">
        <f t="shared" si="4"/>
        <v>0</v>
      </c>
      <c r="N14" s="46">
        <f t="shared" si="2"/>
        <v>0</v>
      </c>
      <c r="O14" s="46">
        <f>มิ.ย.63!N14</f>
        <v>0</v>
      </c>
      <c r="P14" s="100">
        <v>8528069.6699999999</v>
      </c>
      <c r="Q14" s="53">
        <v>5963291.7199999997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2.04</v>
      </c>
      <c r="E15" s="57">
        <v>1.76</v>
      </c>
      <c r="F15" s="57">
        <v>1.49</v>
      </c>
      <c r="G15" s="47">
        <f t="shared" si="0"/>
        <v>0</v>
      </c>
      <c r="H15" s="53">
        <v>17517120.390000001</v>
      </c>
      <c r="I15" s="53">
        <v>17192963.289999999</v>
      </c>
      <c r="J15" s="47">
        <f t="shared" si="1"/>
        <v>0</v>
      </c>
      <c r="K15" s="51">
        <f t="shared" si="3"/>
        <v>1719296.3289999999</v>
      </c>
      <c r="L15" s="45">
        <f t="shared" si="5"/>
        <v>10.188540564260114</v>
      </c>
      <c r="M15" s="43">
        <f t="shared" si="4"/>
        <v>0</v>
      </c>
      <c r="N15" s="46">
        <f t="shared" si="2"/>
        <v>0</v>
      </c>
      <c r="O15" s="46">
        <f>มิ.ย.63!N15</f>
        <v>0</v>
      </c>
      <c r="P15" s="100">
        <v>11100131.630000001</v>
      </c>
      <c r="Q15" s="53">
        <v>8232357.1500000004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3.61</v>
      </c>
      <c r="E16" s="57">
        <v>2.75</v>
      </c>
      <c r="F16" s="57">
        <v>2.41</v>
      </c>
      <c r="G16" s="47">
        <f t="shared" si="0"/>
        <v>0</v>
      </c>
      <c r="H16" s="53">
        <v>58442372.57</v>
      </c>
      <c r="I16" s="53">
        <v>17882558.73</v>
      </c>
      <c r="J16" s="47">
        <f t="shared" si="1"/>
        <v>0</v>
      </c>
      <c r="K16" s="51">
        <f t="shared" si="3"/>
        <v>1788255.8730000001</v>
      </c>
      <c r="L16" s="45">
        <f t="shared" si="5"/>
        <v>32.681213830969476</v>
      </c>
      <c r="M16" s="43">
        <f t="shared" si="4"/>
        <v>0</v>
      </c>
      <c r="N16" s="46">
        <f t="shared" si="2"/>
        <v>0</v>
      </c>
      <c r="O16" s="46">
        <f>มิ.ย.63!N16</f>
        <v>0</v>
      </c>
      <c r="P16" s="100">
        <v>15731460.060000001</v>
      </c>
      <c r="Q16" s="53">
        <v>31524349.07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1.91</v>
      </c>
      <c r="E17" s="57">
        <v>1.6</v>
      </c>
      <c r="F17" s="57">
        <v>1.39</v>
      </c>
      <c r="G17" s="47">
        <f t="shared" si="0"/>
        <v>0</v>
      </c>
      <c r="H17" s="53">
        <v>4826008.51</v>
      </c>
      <c r="I17" s="53">
        <v>1029283.55</v>
      </c>
      <c r="J17" s="47">
        <f t="shared" si="1"/>
        <v>0</v>
      </c>
      <c r="K17" s="51">
        <f t="shared" si="3"/>
        <v>102928.35500000001</v>
      </c>
      <c r="L17" s="45">
        <f t="shared" si="5"/>
        <v>46.887065376688469</v>
      </c>
      <c r="M17" s="43">
        <f t="shared" si="4"/>
        <v>0</v>
      </c>
      <c r="N17" s="46">
        <f t="shared" si="2"/>
        <v>0</v>
      </c>
      <c r="O17" s="46">
        <f>มิ.ย.63!N17</f>
        <v>0</v>
      </c>
      <c r="P17" s="100">
        <v>2687700.73</v>
      </c>
      <c r="Q17" s="53">
        <v>2056908.89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8">
        <v>1.34</v>
      </c>
      <c r="E18" s="57">
        <v>1.1100000000000001</v>
      </c>
      <c r="F18" s="98">
        <v>0.67</v>
      </c>
      <c r="G18" s="42">
        <f t="shared" si="0"/>
        <v>2</v>
      </c>
      <c r="H18" s="53">
        <v>6277087.1100000003</v>
      </c>
      <c r="I18" s="68">
        <v>-988995.62</v>
      </c>
      <c r="J18" s="42">
        <f t="shared" si="1"/>
        <v>1</v>
      </c>
      <c r="K18" s="59">
        <f t="shared" si="3"/>
        <v>-98899.562000000005</v>
      </c>
      <c r="L18" s="45">
        <f t="shared" si="5"/>
        <v>-63.469311522330102</v>
      </c>
      <c r="M18" s="43">
        <f t="shared" si="4"/>
        <v>0</v>
      </c>
      <c r="N18" s="46">
        <f t="shared" si="2"/>
        <v>3</v>
      </c>
      <c r="O18" s="46">
        <f>มิ.ย.63!N18</f>
        <v>3</v>
      </c>
      <c r="P18" s="100">
        <v>5617790.4400000004</v>
      </c>
      <c r="Q18" s="68">
        <v>-6202875.8700000001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8">
        <v>0.67</v>
      </c>
      <c r="E19" s="98">
        <v>0.53</v>
      </c>
      <c r="F19" s="98">
        <v>0.31</v>
      </c>
      <c r="G19" s="42">
        <f t="shared" si="0"/>
        <v>3</v>
      </c>
      <c r="H19" s="68">
        <v>-5340912.8099999996</v>
      </c>
      <c r="I19" s="53">
        <v>67361.08</v>
      </c>
      <c r="J19" s="42">
        <f t="shared" si="1"/>
        <v>1</v>
      </c>
      <c r="K19" s="51">
        <f t="shared" si="3"/>
        <v>6736.1080000000002</v>
      </c>
      <c r="L19" s="45">
        <f t="shared" si="5"/>
        <v>-792.8781441746479</v>
      </c>
      <c r="M19" s="42">
        <f t="shared" si="4"/>
        <v>2</v>
      </c>
      <c r="N19" s="46">
        <f t="shared" si="2"/>
        <v>6</v>
      </c>
      <c r="O19" s="46">
        <f>มิ.ย.63!N19</f>
        <v>6</v>
      </c>
      <c r="P19" s="100">
        <v>3016181.58</v>
      </c>
      <c r="Q19" s="68">
        <v>-10947761.08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1.66</v>
      </c>
      <c r="E20" s="57">
        <v>1.45</v>
      </c>
      <c r="F20" s="57">
        <v>1.18</v>
      </c>
      <c r="G20" s="47">
        <f t="shared" si="0"/>
        <v>0</v>
      </c>
      <c r="H20" s="53">
        <v>5741191.0800000001</v>
      </c>
      <c r="I20" s="68">
        <v>-821967.51</v>
      </c>
      <c r="J20" s="42">
        <f t="shared" si="1"/>
        <v>1</v>
      </c>
      <c r="K20" s="59">
        <f t="shared" si="3"/>
        <v>-82196.751000000004</v>
      </c>
      <c r="L20" s="45">
        <f t="shared" si="5"/>
        <v>-69.846934460949683</v>
      </c>
      <c r="M20" s="43">
        <f t="shared" si="4"/>
        <v>0</v>
      </c>
      <c r="N20" s="46">
        <f t="shared" si="2"/>
        <v>1</v>
      </c>
      <c r="O20" s="46">
        <f>มิ.ย.63!N20</f>
        <v>2</v>
      </c>
      <c r="P20" s="100">
        <v>1544316.84</v>
      </c>
      <c r="Q20" s="53">
        <v>1483283.5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8" t="s">
        <v>86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41"/>
    </row>
    <row r="2" spans="1:24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87</v>
      </c>
      <c r="O2" s="154" t="s">
        <v>88</v>
      </c>
      <c r="P2" s="145" t="s">
        <v>37</v>
      </c>
    </row>
    <row r="3" spans="1:24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45"/>
    </row>
    <row r="4" spans="1:24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45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SUM(I5/11)</f>
        <v>0</v>
      </c>
      <c r="L5" s="45" t="e">
        <f>+H5/K5</f>
        <v>#DIV/0!</v>
      </c>
      <c r="M5" s="4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 t="shared" ref="N5:N20" si="2">SUM(G5+J5+M5)</f>
        <v>3</v>
      </c>
      <c r="O5" s="46">
        <f>ก.ค.63!N5</f>
        <v>1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SUM(I6/11)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6">
        <f>SUM(G6+J6+M6)</f>
        <v>3</v>
      </c>
      <c r="O6" s="46">
        <f>ก.ค.63!N6</f>
        <v>7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ก.ค.63!N7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ก.ค.63!N8</f>
        <v>1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ก.ค.63!N9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ก.ค.63!N10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ก.ค.63!N11</f>
        <v>2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ก.ค.63!N12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ก.ค.63!N13</f>
        <v>1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ก.ค.63!N14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ก.ค.63!N15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ก.ค.63!N16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ก.ค.63!N17</f>
        <v>0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ก.ค.63!N18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ก.ค.63!N19</f>
        <v>6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ก.ค.63!N20</f>
        <v>1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8" t="s">
        <v>89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41"/>
    </row>
    <row r="2" spans="1:24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90</v>
      </c>
      <c r="O2" s="154" t="s">
        <v>91</v>
      </c>
      <c r="P2" s="145" t="s">
        <v>37</v>
      </c>
    </row>
    <row r="3" spans="1:24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45"/>
    </row>
    <row r="4" spans="1:24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45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5" sqref="H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63"/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94</v>
      </c>
      <c r="O2" s="154" t="s">
        <v>91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2">
        <v>1.39</v>
      </c>
      <c r="E5" s="47">
        <v>1.27</v>
      </c>
      <c r="F5" s="47">
        <v>0.93</v>
      </c>
      <c r="G5" s="42">
        <v>1</v>
      </c>
      <c r="H5" s="53">
        <v>5220501.92</v>
      </c>
      <c r="I5" s="53">
        <v>9594859.0600000005</v>
      </c>
      <c r="J5" s="47">
        <v>0</v>
      </c>
      <c r="K5" s="51">
        <v>9594859.0600000005</v>
      </c>
      <c r="L5" s="45">
        <v>0.54409365341943849</v>
      </c>
      <c r="M5" s="43">
        <v>0</v>
      </c>
      <c r="N5" s="46">
        <v>1</v>
      </c>
      <c r="O5" s="83">
        <v>6</v>
      </c>
      <c r="P5" s="88">
        <v>9973269.3499999996</v>
      </c>
      <c r="Q5" s="85">
        <v>-998866.95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2">
        <v>1.38</v>
      </c>
      <c r="E6" s="47">
        <v>1.26</v>
      </c>
      <c r="F6" s="47">
        <v>0.83</v>
      </c>
      <c r="G6" s="42">
        <v>1</v>
      </c>
      <c r="H6" s="53">
        <v>4901737.28</v>
      </c>
      <c r="I6" s="53">
        <v>9312842.6899999995</v>
      </c>
      <c r="J6" s="47">
        <v>0</v>
      </c>
      <c r="K6" s="51">
        <v>4656421.3449999997</v>
      </c>
      <c r="L6" s="45">
        <v>1.0526833627853325</v>
      </c>
      <c r="M6" s="43">
        <v>0</v>
      </c>
      <c r="N6" s="46">
        <v>1</v>
      </c>
      <c r="O6" s="46">
        <v>1</v>
      </c>
      <c r="P6" s="88">
        <v>10069663.27</v>
      </c>
      <c r="Q6" s="68">
        <v>-2180048.4900000002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75">
        <v>1.29</v>
      </c>
      <c r="E7" s="69">
        <v>1.1499999999999999</v>
      </c>
      <c r="F7" s="75">
        <v>0.72</v>
      </c>
      <c r="G7" s="75">
        <v>2</v>
      </c>
      <c r="H7" s="61">
        <v>3881770.93</v>
      </c>
      <c r="I7" s="61">
        <v>8242174.2300000004</v>
      </c>
      <c r="J7" s="69">
        <v>0</v>
      </c>
      <c r="K7" s="70">
        <v>2747391.41</v>
      </c>
      <c r="L7" s="71">
        <v>1.4128933052171113</v>
      </c>
      <c r="M7" s="72">
        <v>0</v>
      </c>
      <c r="N7" s="73">
        <v>2</v>
      </c>
      <c r="O7" s="73">
        <v>1</v>
      </c>
      <c r="P7" s="82">
        <v>9351380.4600000009</v>
      </c>
      <c r="Q7" s="81">
        <v>-3787434.76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93">
        <v>1.28</v>
      </c>
      <c r="E8" s="47">
        <v>1.1399999999999999</v>
      </c>
      <c r="F8" s="93">
        <v>0.63</v>
      </c>
      <c r="G8" s="42">
        <v>2</v>
      </c>
      <c r="H8" s="53">
        <v>3439211.65</v>
      </c>
      <c r="I8" s="53">
        <v>7895954.6900000004</v>
      </c>
      <c r="J8" s="47">
        <v>0</v>
      </c>
      <c r="K8" s="51">
        <v>1973988.6725000001</v>
      </c>
      <c r="L8" s="45">
        <v>1.7422651395685755</v>
      </c>
      <c r="M8" s="43">
        <v>0</v>
      </c>
      <c r="N8" s="46">
        <v>2</v>
      </c>
      <c r="O8" s="46">
        <v>2</v>
      </c>
      <c r="P8" s="53">
        <v>9353547.6400000006</v>
      </c>
      <c r="Q8" s="94">
        <v>-4657059.47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2">
        <v>1.37</v>
      </c>
      <c r="E9" s="47">
        <v>1.22</v>
      </c>
      <c r="F9" s="42">
        <v>0.68</v>
      </c>
      <c r="G9" s="42">
        <v>2</v>
      </c>
      <c r="H9" s="53">
        <v>4665596.29</v>
      </c>
      <c r="I9" s="53">
        <v>9075662.3399999999</v>
      </c>
      <c r="J9" s="47">
        <v>0</v>
      </c>
      <c r="K9" s="51">
        <v>1815132.4679999999</v>
      </c>
      <c r="L9" s="45">
        <v>2.5703888681693727</v>
      </c>
      <c r="M9" s="43">
        <v>0</v>
      </c>
      <c r="N9" s="46">
        <v>2</v>
      </c>
      <c r="O9" s="46">
        <v>2</v>
      </c>
      <c r="P9" s="53">
        <v>10911665.58</v>
      </c>
      <c r="Q9" s="68">
        <v>-4035844.79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42">
        <v>1.37</v>
      </c>
      <c r="E10" s="47">
        <v>1.25</v>
      </c>
      <c r="F10" s="42">
        <v>0.78</v>
      </c>
      <c r="G10" s="42">
        <v>2</v>
      </c>
      <c r="H10" s="53">
        <v>5154062.82</v>
      </c>
      <c r="I10" s="53">
        <v>9564163.7799999993</v>
      </c>
      <c r="J10" s="47">
        <v>0</v>
      </c>
      <c r="K10" s="51">
        <v>1594027.2966666666</v>
      </c>
      <c r="L10" s="45">
        <v>3.2333591970337423</v>
      </c>
      <c r="M10" s="43">
        <v>0</v>
      </c>
      <c r="N10" s="46">
        <v>2</v>
      </c>
      <c r="O10" s="46">
        <v>2</v>
      </c>
      <c r="P10" s="100">
        <v>10999344.16</v>
      </c>
      <c r="Q10" s="68">
        <v>-3065093.54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2">
        <v>1.45</v>
      </c>
      <c r="E11" s="47">
        <v>1.32</v>
      </c>
      <c r="F11" s="57">
        <v>0.9</v>
      </c>
      <c r="G11" s="42">
        <v>1</v>
      </c>
      <c r="H11" s="53">
        <v>6850204.2800000003</v>
      </c>
      <c r="I11" s="53">
        <v>11961953.67</v>
      </c>
      <c r="J11" s="47">
        <v>0</v>
      </c>
      <c r="K11" s="51">
        <v>1708850.5242857144</v>
      </c>
      <c r="L11" s="45">
        <v>4.0086620699978015</v>
      </c>
      <c r="M11" s="43">
        <v>0</v>
      </c>
      <c r="N11" s="46">
        <v>1</v>
      </c>
      <c r="O11" s="46">
        <v>2</v>
      </c>
      <c r="P11" s="100">
        <v>13775544.34</v>
      </c>
      <c r="Q11" s="68">
        <v>-1478858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57">
        <v>1.1100000000000001</v>
      </c>
      <c r="E12" s="57">
        <v>0.97</v>
      </c>
      <c r="F12" s="57">
        <v>0.53</v>
      </c>
      <c r="G12" s="42">
        <v>3</v>
      </c>
      <c r="H12" s="53">
        <v>1771122.51</v>
      </c>
      <c r="I12" s="53">
        <v>11139842.529999999</v>
      </c>
      <c r="J12" s="47">
        <v>0</v>
      </c>
      <c r="K12" s="51">
        <v>1392480.3162499999</v>
      </c>
      <c r="L12" s="45">
        <v>1.2719192431887993</v>
      </c>
      <c r="M12" s="43">
        <v>0</v>
      </c>
      <c r="N12" s="46">
        <v>3</v>
      </c>
      <c r="O12" s="46">
        <v>1</v>
      </c>
      <c r="P12" s="100">
        <v>13331843.49</v>
      </c>
      <c r="Q12" s="68">
        <v>-7412045.1500000004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5"/>
      <c r="D13" s="47"/>
      <c r="E13" s="47"/>
      <c r="F13" s="47"/>
      <c r="G13" s="47">
        <f t="shared" ref="G13:G16" si="0">(IF(D13&lt;1.5,1,0))+(IF(E13&lt;1,1,0))+(IF(F13&lt;0.8,1,0))</f>
        <v>3</v>
      </c>
      <c r="H13" s="53"/>
      <c r="I13" s="53"/>
      <c r="J13" s="47">
        <f t="shared" ref="J13:J16" si="1">IF(I13&lt;0,1,0)+IF(H13&lt;0,1,0)</f>
        <v>0</v>
      </c>
      <c r="K13" s="51">
        <f t="shared" ref="K13:K16" si="2">SUM(I13/12)</f>
        <v>0</v>
      </c>
      <c r="L13" s="45" t="e">
        <f t="shared" ref="L13:L16" si="3">+H13/K13</f>
        <v>#DIV/0!</v>
      </c>
      <c r="M13" s="43" t="b">
        <f t="shared" ref="M13:M16" si="4">IF(AND(I13&lt;0,H13&lt;0),2,IF(AND(I13&gt;0,H13&gt;0),0,IF(AND(H13&lt;0,I13&gt;0),IF(ABS((H13/(I13/12)))&lt;3,0,IF(ABS((H13/(I13/12)))&gt;6,2,1)),IF(AND(H13&gt;0,I13&lt;0),IF(ABS((H13/(I13/12)))&lt;3,2,IF(ABS((H13/(I13/12)))&gt;6,0,1))))))</f>
        <v>0</v>
      </c>
      <c r="N13" s="46">
        <f t="shared" ref="N13:N16" si="5">SUM(G13+J13+M13)</f>
        <v>3</v>
      </c>
      <c r="O13" s="46">
        <f>ส.ค.63!N13</f>
        <v>3</v>
      </c>
      <c r="P13" s="4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3"/>
        <v>#DIV/0!</v>
      </c>
      <c r="M14" s="43" t="b">
        <f t="shared" si="4"/>
        <v>0</v>
      </c>
      <c r="N14" s="46">
        <f t="shared" si="5"/>
        <v>3</v>
      </c>
      <c r="O14" s="46">
        <f>ส.ค.63!N14</f>
        <v>3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3"/>
        <v>#DIV/0!</v>
      </c>
      <c r="M15" s="43" t="b">
        <f t="shared" si="4"/>
        <v>0</v>
      </c>
      <c r="N15" s="46">
        <f t="shared" si="5"/>
        <v>3</v>
      </c>
      <c r="O15" s="46">
        <f>ส.ค.63!N15</f>
        <v>3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3"/>
        <v>#DIV/0!</v>
      </c>
      <c r="M16" s="43" t="b">
        <f t="shared" si="4"/>
        <v>0</v>
      </c>
      <c r="N16" s="46">
        <f t="shared" si="5"/>
        <v>3</v>
      </c>
      <c r="O16" s="46">
        <f>ส.ค.63!N16</f>
        <v>3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35" t="s">
        <v>5</v>
      </c>
      <c r="M19" s="135"/>
      <c r="N19" s="135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35"/>
      <c r="M20" s="135"/>
      <c r="N20" s="135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35" t="s">
        <v>5</v>
      </c>
      <c r="M21" s="135"/>
      <c r="N21" s="135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35"/>
      <c r="M22" s="135"/>
      <c r="N22" s="135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36" t="s">
        <v>5</v>
      </c>
      <c r="L23" s="136"/>
      <c r="M23" s="101"/>
      <c r="N23" s="101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35" t="s">
        <v>5</v>
      </c>
      <c r="M26" s="135"/>
      <c r="N26" s="135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35"/>
      <c r="M27" s="135"/>
      <c r="N27" s="135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L19:N20"/>
    <mergeCell ref="L21:N22"/>
    <mergeCell ref="K23:L23"/>
    <mergeCell ref="L26:N27"/>
    <mergeCell ref="P2:P4"/>
    <mergeCell ref="O2:O4"/>
  </mergeCells>
  <conditionalFormatting sqref="N5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5">
    <cfRule type="colorScale" priority="83">
      <colorScale>
        <cfvo type="min"/>
        <cfvo type="max"/>
        <color rgb="FFFCFCFF"/>
        <color rgb="FFF8696B"/>
      </colorScale>
    </cfRule>
  </conditionalFormatting>
  <conditionalFormatting sqref="N5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5">
    <cfRule type="colorScale" priority="78">
      <colorScale>
        <cfvo type="min"/>
        <cfvo type="max"/>
        <color rgb="FFFCFCFF"/>
        <color rgb="FFF8696B"/>
      </colorScale>
    </cfRule>
  </conditionalFormatting>
  <conditionalFormatting sqref="O5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13:N16">
    <cfRule type="colorScale" priority="95">
      <colorScale>
        <cfvo type="min"/>
        <cfvo type="max"/>
        <color rgb="FFFCFCFF"/>
        <color rgb="FFF8696B"/>
      </colorScale>
    </cfRule>
    <cfRule type="colorScale" priority="96">
      <colorScale>
        <cfvo type="min"/>
        <cfvo type="max"/>
        <color rgb="FFFFFF00"/>
        <color rgb="FFFF0000"/>
      </colorScale>
    </cfRule>
    <cfRule type="colorScale" priority="97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98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99">
      <colorScale>
        <cfvo type="min"/>
        <cfvo type="max"/>
        <color rgb="FFFF7128"/>
        <color theme="6" tint="0.79998168889431442"/>
      </colorScale>
    </cfRule>
  </conditionalFormatting>
  <conditionalFormatting sqref="O13:P16">
    <cfRule type="colorScale" priority="100">
      <colorScale>
        <cfvo type="min"/>
        <cfvo type="max"/>
        <color rgb="FFFCFCFF"/>
        <color rgb="FFF8696B"/>
      </colorScale>
    </cfRule>
    <cfRule type="colorScale" priority="101">
      <colorScale>
        <cfvo type="min"/>
        <cfvo type="max"/>
        <color rgb="FFFFFF00"/>
        <color rgb="FFFF0000"/>
      </colorScale>
    </cfRule>
    <cfRule type="colorScale" priority="102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03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04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6">
    <cfRule type="colorScale" priority="73">
      <colorScale>
        <cfvo type="min"/>
        <cfvo type="max"/>
        <color rgb="FFFCFCFF"/>
        <color rgb="FFF8696B"/>
      </colorScale>
    </cfRule>
  </conditionalFormatting>
  <conditionalFormatting sqref="N6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6">
    <cfRule type="colorScale" priority="68">
      <colorScale>
        <cfvo type="min"/>
        <cfvo type="max"/>
        <color rgb="FFFCFCFF"/>
        <color rgb="FFF8696B"/>
      </colorScale>
    </cfRule>
  </conditionalFormatting>
  <conditionalFormatting sqref="O6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7">
    <cfRule type="colorScale" priority="63">
      <colorScale>
        <cfvo type="min"/>
        <cfvo type="max"/>
        <color rgb="FFFCFCFF"/>
        <color rgb="FFF8696B"/>
      </colorScale>
    </cfRule>
  </conditionalFormatting>
  <conditionalFormatting sqref="N7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7">
    <cfRule type="colorScale" priority="58">
      <colorScale>
        <cfvo type="min"/>
        <cfvo type="max"/>
        <color rgb="FFFCFCFF"/>
        <color rgb="FFF8696B"/>
      </colorScale>
    </cfRule>
  </conditionalFormatting>
  <conditionalFormatting sqref="O7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8">
    <cfRule type="colorScale" priority="53">
      <colorScale>
        <cfvo type="min"/>
        <cfvo type="max"/>
        <color rgb="FFFCFCFF"/>
        <color rgb="FFF8696B"/>
      </colorScale>
    </cfRule>
  </conditionalFormatting>
  <conditionalFormatting sqref="N8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8">
    <cfRule type="colorScale" priority="48">
      <colorScale>
        <cfvo type="min"/>
        <cfvo type="max"/>
        <color rgb="FFFCFCFF"/>
        <color rgb="FFF8696B"/>
      </colorScale>
    </cfRule>
  </conditionalFormatting>
  <conditionalFormatting sqref="O8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9">
    <cfRule type="colorScale" priority="43">
      <colorScale>
        <cfvo type="min"/>
        <cfvo type="max"/>
        <color rgb="FFFCFCFF"/>
        <color rgb="FFF8696B"/>
      </colorScale>
    </cfRule>
  </conditionalFormatting>
  <conditionalFormatting sqref="N9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9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12">
    <cfRule type="cellIs" dxfId="9" priority="2" operator="lessThan">
      <formula>1.5</formula>
    </cfRule>
    <cfRule type="cellIs" dxfId="8" priority="4" operator="lessThan">
      <formula>1.5</formula>
    </cfRule>
  </conditionalFormatting>
  <conditionalFormatting sqref="E12">
    <cfRule type="cellIs" dxfId="7" priority="3" operator="lessThan">
      <formula>1</formula>
    </cfRule>
  </conditionalFormatting>
  <conditionalFormatting sqref="F12">
    <cfRule type="cellIs" dxfId="6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29" sqref="N29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63"/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94</v>
      </c>
      <c r="O2" s="154" t="s">
        <v>91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7">
        <v>2.0699999999999998</v>
      </c>
      <c r="E5" s="47">
        <v>1.95</v>
      </c>
      <c r="F5" s="47">
        <v>1.49</v>
      </c>
      <c r="G5" s="47">
        <f t="shared" ref="G5:G12" si="0">(IF(D5&lt;1.5,1,0))+(IF(E5&lt;1,1,0))+(IF(F5&lt;0.8,1,0))</f>
        <v>0</v>
      </c>
      <c r="H5" s="53">
        <v>8924510.2599999998</v>
      </c>
      <c r="I5" s="53">
        <v>3954083.69</v>
      </c>
      <c r="J5" s="47">
        <f t="shared" ref="J5:J12" si="1">IF(I5&lt;0,1,0)+IF(H5&lt;0,1,0)</f>
        <v>0</v>
      </c>
      <c r="K5" s="44">
        <f t="shared" ref="K5" si="2">SUM(I5/1)</f>
        <v>3954083.69</v>
      </c>
      <c r="L5" s="45">
        <f t="shared" ref="L5:L12" si="3">+H5/K5</f>
        <v>2.2570362591389661</v>
      </c>
      <c r="M5" s="43">
        <f t="shared" ref="M5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12" si="5">SUM(G5+J5+M5)</f>
        <v>0</v>
      </c>
      <c r="O5" s="83">
        <v>0</v>
      </c>
      <c r="P5" s="88">
        <v>4287641.6900000004</v>
      </c>
      <c r="Q5" s="86">
        <v>4105083.56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7">
        <v>1.96</v>
      </c>
      <c r="E6" s="47">
        <v>1.83</v>
      </c>
      <c r="F6" s="47">
        <v>1.35</v>
      </c>
      <c r="G6" s="47">
        <f t="shared" si="0"/>
        <v>0</v>
      </c>
      <c r="H6" s="53">
        <v>7499624.7400000002</v>
      </c>
      <c r="I6" s="53">
        <v>2303920.1</v>
      </c>
      <c r="J6" s="47">
        <f t="shared" si="1"/>
        <v>0</v>
      </c>
      <c r="K6" s="44">
        <f t="shared" ref="K6" si="6">SUM(I6/2)</f>
        <v>1151960.05</v>
      </c>
      <c r="L6" s="45">
        <f t="shared" si="3"/>
        <v>6.510316690235916</v>
      </c>
      <c r="M6" s="43">
        <f t="shared" ref="M6" si="7"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 t="shared" si="5"/>
        <v>0</v>
      </c>
      <c r="O6" s="46">
        <f>ต.ค.62!N6</f>
        <v>4</v>
      </c>
      <c r="P6" s="88">
        <v>2979569.43</v>
      </c>
      <c r="Q6" s="53">
        <v>2718333.94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69">
        <v>1.77</v>
      </c>
      <c r="E7" s="69">
        <v>1.63</v>
      </c>
      <c r="F7" s="69">
        <v>1.1399999999999999</v>
      </c>
      <c r="G7" s="69">
        <f t="shared" si="0"/>
        <v>0</v>
      </c>
      <c r="H7" s="61">
        <v>6015069.5800000001</v>
      </c>
      <c r="I7" s="61">
        <v>576662.64</v>
      </c>
      <c r="J7" s="69">
        <f t="shared" si="1"/>
        <v>0</v>
      </c>
      <c r="K7" s="77">
        <f>SUM(I7/3)</f>
        <v>192220.88</v>
      </c>
      <c r="L7" s="71">
        <f t="shared" si="3"/>
        <v>31.292487996101151</v>
      </c>
      <c r="M7" s="72">
        <f t="shared" ref="M7" si="8">IF(AND(I7&lt;0,H7&lt;0),2,IF(AND(I7&gt;0,H7&gt;0),0,IF(AND(H7&lt;0,I7&gt;0),IF(ABS((H7/(I7/3)))&lt;3,0,IF(ABS((H7/(I7/3)))&gt;6,2,1)),IF(AND(H7&gt;0,I7&lt;0),IF(ABS((H7/(I7/3)))&lt;3,2,IF(ABS((H7/(I7/3)))&gt;6,0,1))))))</f>
        <v>0</v>
      </c>
      <c r="N7" s="73">
        <f t="shared" si="5"/>
        <v>0</v>
      </c>
      <c r="O7" s="73">
        <f>พ.ย.62!N7</f>
        <v>1</v>
      </c>
      <c r="P7" s="78">
        <v>1604722.3</v>
      </c>
      <c r="Q7" s="61">
        <v>1083998.1399999999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47">
        <v>1.68</v>
      </c>
      <c r="E8" s="47">
        <v>1.54</v>
      </c>
      <c r="F8" s="47">
        <v>1.1100000000000001</v>
      </c>
      <c r="G8" s="47">
        <f t="shared" si="0"/>
        <v>0</v>
      </c>
      <c r="H8" s="53">
        <v>5111018.01</v>
      </c>
      <c r="I8" s="94">
        <v>-450495.23</v>
      </c>
      <c r="J8" s="93">
        <f t="shared" si="1"/>
        <v>1</v>
      </c>
      <c r="K8" s="96">
        <f t="shared" ref="K8" si="9">SUM(I8/4)</f>
        <v>-112623.8075</v>
      </c>
      <c r="L8" s="45">
        <f t="shared" si="3"/>
        <v>-45.381328543700675</v>
      </c>
      <c r="M8" s="43">
        <f t="shared" ref="M8" si="10">IF(AND(I8&lt;0,H8&lt;0),2,IF(AND(I8&gt;0,H8&gt;0),0,IF(AND(H8&lt;0,I8&gt;0),IF(ABS((H8/(I8/4)))&lt;3,0,IF(ABS((H8/(I8/4)))&gt;6,2,1)),IF(AND(H8&gt;0,I8&lt;0),IF(ABS((H8/(I8/4)))&lt;3,2,IF(ABS((H8/(I8/4)))&gt;6,0,1))))))</f>
        <v>0</v>
      </c>
      <c r="N8" s="46">
        <f t="shared" si="5"/>
        <v>1</v>
      </c>
      <c r="O8" s="46">
        <f>ธ.ค.62!N8</f>
        <v>0</v>
      </c>
      <c r="P8" s="53">
        <v>924019.6</v>
      </c>
      <c r="Q8" s="53">
        <v>830645.04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7">
        <v>1.84</v>
      </c>
      <c r="E9" s="47">
        <v>1.69</v>
      </c>
      <c r="F9" s="47">
        <v>1.24</v>
      </c>
      <c r="G9" s="47">
        <f t="shared" si="0"/>
        <v>0</v>
      </c>
      <c r="H9" s="53">
        <v>6469105.2699999996</v>
      </c>
      <c r="I9" s="53">
        <v>453097.94</v>
      </c>
      <c r="J9" s="47">
        <f t="shared" si="1"/>
        <v>0</v>
      </c>
      <c r="K9" s="44">
        <f t="shared" ref="K9" si="11">SUM(I9/5)</f>
        <v>90619.588000000003</v>
      </c>
      <c r="L9" s="45">
        <f t="shared" si="3"/>
        <v>71.387493728177176</v>
      </c>
      <c r="M9" s="43">
        <f t="shared" ref="M9" si="12">IF(AND(I9&lt;0,H9&lt;0),2,IF(AND(I9&gt;0,H9&gt;0),0,IF(AND(H9&lt;0,I9&gt;0),IF(ABS((H9/(I9/5)))&lt;3,0,IF(ABS((H9/(I9/5)))&gt;6,2,1)),IF(AND(H9&gt;0,I9&lt;0),IF(ABS((H9/(I9/5)))&lt;3,2,IF(ABS((H9/(I9/5)))&gt;6,0,1))))))</f>
        <v>0</v>
      </c>
      <c r="N9" s="46">
        <f t="shared" si="5"/>
        <v>0</v>
      </c>
      <c r="O9" s="46">
        <f>ม.ค.63!N9</f>
        <v>0</v>
      </c>
      <c r="P9" s="53">
        <v>2132909.52</v>
      </c>
      <c r="Q9" s="53">
        <v>1844379.65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57">
        <v>1.9</v>
      </c>
      <c r="E10" s="47">
        <v>1.76</v>
      </c>
      <c r="F10" s="47">
        <v>1.42</v>
      </c>
      <c r="G10" s="47">
        <f t="shared" si="0"/>
        <v>0</v>
      </c>
      <c r="H10" s="53">
        <v>7432761.3300000001</v>
      </c>
      <c r="I10" s="53">
        <v>2124345.83</v>
      </c>
      <c r="J10" s="47">
        <f t="shared" si="1"/>
        <v>0</v>
      </c>
      <c r="K10" s="44">
        <f t="shared" ref="K10" si="13">SUM(I10/6)</f>
        <v>354057.63833333337</v>
      </c>
      <c r="L10" s="45">
        <f t="shared" si="3"/>
        <v>20.993082835293347</v>
      </c>
      <c r="M10" s="43">
        <f t="shared" ref="M10" si="14">IF(AND(I10&lt;0,H10&lt;0),2,IF(AND(I10&gt;0,H10&gt;0),0,IF(AND(H10&lt;0,I10&gt;0),IF(ABS((H10/(I10/6)))&lt;3,0,IF(ABS((H10/(I10/6)))&gt;6,2,1)),IF(AND(H10&gt;0,I10&lt;0),IF(ABS((H10/(I10/6)))&lt;3,2,IF(ABS((H10/(I10/6)))&gt;6,0,1))))))</f>
        <v>0</v>
      </c>
      <c r="N10" s="46">
        <f t="shared" si="5"/>
        <v>0</v>
      </c>
      <c r="O10" s="46">
        <f>ก.พ.63!N10</f>
        <v>1</v>
      </c>
      <c r="P10" s="100">
        <v>3210563.34</v>
      </c>
      <c r="Q10" s="53">
        <v>3513628.89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7">
        <v>1.58</v>
      </c>
      <c r="E11" s="47">
        <v>1.37</v>
      </c>
      <c r="F11" s="47">
        <v>1.0900000000000001</v>
      </c>
      <c r="G11" s="47">
        <f t="shared" si="0"/>
        <v>0</v>
      </c>
      <c r="H11" s="53">
        <v>5590344.75</v>
      </c>
      <c r="I11" s="68">
        <v>-41537.599999999999</v>
      </c>
      <c r="J11" s="42">
        <f t="shared" si="1"/>
        <v>1</v>
      </c>
      <c r="K11" s="59">
        <f>SUM(I11/7)</f>
        <v>-5933.9428571428571</v>
      </c>
      <c r="L11" s="45">
        <f t="shared" si="3"/>
        <v>-942.09615504988255</v>
      </c>
      <c r="M11" s="43">
        <f t="shared" ref="M11" si="1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46">
        <f t="shared" si="5"/>
        <v>1</v>
      </c>
      <c r="O11" s="46">
        <f>มี.ค.63!N11</f>
        <v>0</v>
      </c>
      <c r="P11" s="100">
        <v>1355926.98</v>
      </c>
      <c r="Q11" s="53">
        <v>846541.59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57">
        <v>1.38</v>
      </c>
      <c r="E12" s="57">
        <v>1.17</v>
      </c>
      <c r="F12" s="57">
        <v>0.93</v>
      </c>
      <c r="G12" s="42">
        <f t="shared" si="0"/>
        <v>1</v>
      </c>
      <c r="H12" s="53">
        <v>3735101.09</v>
      </c>
      <c r="I12" s="68">
        <v>-2310479.79</v>
      </c>
      <c r="J12" s="42">
        <f t="shared" si="1"/>
        <v>1</v>
      </c>
      <c r="K12" s="59">
        <f t="shared" ref="K12" si="16">SUM(I12/8)</f>
        <v>-288809.97375</v>
      </c>
      <c r="L12" s="45">
        <f t="shared" si="3"/>
        <v>-12.932728885717713</v>
      </c>
      <c r="M12" s="43">
        <f t="shared" ref="M12" si="17">IF(AND(I12&lt;0,H12&lt;0),2,IF(AND(I12&gt;0,H12&gt;0),0,IF(AND(H12&lt;0,I12&gt;0),IF(ABS((H12/(I12/8)))&lt;3,0,IF(ABS((H12/(I12/8)))&gt;6,2,1)),IF(AND(H12&gt;0,I12&lt;0),IF(ABS((H12/(I12/8)))&lt;3,2,IF(ABS((H12/(I12/8)))&gt;6,0,1))))))</f>
        <v>0</v>
      </c>
      <c r="N12" s="46">
        <f t="shared" si="5"/>
        <v>2</v>
      </c>
      <c r="O12" s="46">
        <f>เม.ย.63!N12</f>
        <v>1</v>
      </c>
      <c r="P12" s="68">
        <v>-597874.78</v>
      </c>
      <c r="Q12" s="68">
        <v>-681823.76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5"/>
      <c r="D13" s="47"/>
      <c r="E13" s="47"/>
      <c r="F13" s="47"/>
      <c r="G13" s="47"/>
      <c r="H13" s="53"/>
      <c r="I13" s="53"/>
      <c r="J13" s="47"/>
      <c r="K13" s="51"/>
      <c r="L13" s="45" t="e">
        <f t="shared" ref="L13:L16" si="18">+H13/K13</f>
        <v>#DIV/0!</v>
      </c>
      <c r="M13" s="43" t="b">
        <f t="shared" ref="M13:M16" si="19">IF(AND(I13&lt;0,H13&lt;0),2,IF(AND(I13&gt;0,H13&gt;0),0,IF(AND(H13&lt;0,I13&gt;0),IF(ABS((H13/(I13/12)))&lt;3,0,IF(ABS((H13/(I13/12)))&gt;6,2,1)),IF(AND(H13&gt;0,I13&lt;0),IF(ABS((H13/(I13/12)))&lt;3,2,IF(ABS((H13/(I13/12)))&gt;6,0,1))))))</f>
        <v>0</v>
      </c>
      <c r="N13" s="46"/>
      <c r="O13" s="46">
        <f>ส.ค.63!N13</f>
        <v>3</v>
      </c>
      <c r="P13" s="4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/>
      <c r="H14" s="53"/>
      <c r="I14" s="53"/>
      <c r="J14" s="47"/>
      <c r="K14" s="51"/>
      <c r="L14" s="45" t="e">
        <f t="shared" si="18"/>
        <v>#DIV/0!</v>
      </c>
      <c r="M14" s="43" t="b">
        <f t="shared" si="19"/>
        <v>0</v>
      </c>
      <c r="N14" s="46"/>
      <c r="O14" s="46">
        <f>ส.ค.63!N14</f>
        <v>3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/>
      <c r="H15" s="53"/>
      <c r="I15" s="53"/>
      <c r="J15" s="47"/>
      <c r="K15" s="51"/>
      <c r="L15" s="45" t="e">
        <f t="shared" si="18"/>
        <v>#DIV/0!</v>
      </c>
      <c r="M15" s="43" t="b">
        <f t="shared" si="19"/>
        <v>0</v>
      </c>
      <c r="N15" s="46"/>
      <c r="O15" s="46">
        <f>ส.ค.63!N15</f>
        <v>3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/>
      <c r="H16" s="53"/>
      <c r="I16" s="67"/>
      <c r="J16" s="47"/>
      <c r="K16" s="51"/>
      <c r="L16" s="45" t="e">
        <f t="shared" si="18"/>
        <v>#DIV/0!</v>
      </c>
      <c r="M16" s="43" t="b">
        <f t="shared" si="19"/>
        <v>0</v>
      </c>
      <c r="N16" s="46"/>
      <c r="O16" s="46">
        <f>ส.ค.63!N16</f>
        <v>3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35" t="s">
        <v>5</v>
      </c>
      <c r="M19" s="135"/>
      <c r="N19" s="135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35"/>
      <c r="M20" s="135"/>
      <c r="N20" s="135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35" t="s">
        <v>5</v>
      </c>
      <c r="M21" s="135"/>
      <c r="N21" s="135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35"/>
      <c r="M22" s="135"/>
      <c r="N22" s="135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36" t="s">
        <v>5</v>
      </c>
      <c r="L23" s="136"/>
      <c r="M23" s="102"/>
      <c r="N23" s="102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35" t="s">
        <v>5</v>
      </c>
      <c r="M26" s="135"/>
      <c r="N26" s="135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35"/>
      <c r="M27" s="135"/>
      <c r="N27" s="135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L19:N20"/>
    <mergeCell ref="L21:N22"/>
    <mergeCell ref="K23:L23"/>
    <mergeCell ref="L26:N27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13:N16">
    <cfRule type="colorScale" priority="169">
      <colorScale>
        <cfvo type="min"/>
        <cfvo type="max"/>
        <color rgb="FFFCFCFF"/>
        <color rgb="FFF8696B"/>
      </colorScale>
    </cfRule>
    <cfRule type="colorScale" priority="170">
      <colorScale>
        <cfvo type="min"/>
        <cfvo type="max"/>
        <color rgb="FFFFFF00"/>
        <color rgb="FFFF0000"/>
      </colorScale>
    </cfRule>
    <cfRule type="colorScale" priority="171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172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173">
      <colorScale>
        <cfvo type="min"/>
        <cfvo type="max"/>
        <color rgb="FFFF7128"/>
        <color theme="6" tint="0.79998168889431442"/>
      </colorScale>
    </cfRule>
  </conditionalFormatting>
  <conditionalFormatting sqref="O13:P16">
    <cfRule type="colorScale" priority="174">
      <colorScale>
        <cfvo type="min"/>
        <cfvo type="max"/>
        <color rgb="FFFCFCFF"/>
        <color rgb="FFF8696B"/>
      </colorScale>
    </cfRule>
    <cfRule type="colorScale" priority="175">
      <colorScale>
        <cfvo type="min"/>
        <cfvo type="max"/>
        <color rgb="FFFFFF00"/>
        <color rgb="FFFF0000"/>
      </colorScale>
    </cfRule>
    <cfRule type="colorScale" priority="176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77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78">
      <colorScale>
        <cfvo type="min"/>
        <cfvo type="max"/>
        <color rgb="FFFF7128"/>
        <color theme="6" tint="0.79998168889431442"/>
      </colorScale>
    </cfRule>
  </conditionalFormatting>
  <conditionalFormatting sqref="N5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5">
    <cfRule type="colorScale" priority="83">
      <colorScale>
        <cfvo type="min"/>
        <cfvo type="max"/>
        <color rgb="FFFCFCFF"/>
        <color rgb="FFF8696B"/>
      </colorScale>
    </cfRule>
  </conditionalFormatting>
  <conditionalFormatting sqref="N5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5">
    <cfRule type="colorScale" priority="78">
      <colorScale>
        <cfvo type="min"/>
        <cfvo type="max"/>
        <color rgb="FFFCFCFF"/>
        <color rgb="FFF8696B"/>
      </colorScale>
    </cfRule>
  </conditionalFormatting>
  <conditionalFormatting sqref="O5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6">
    <cfRule type="colorScale" priority="73">
      <colorScale>
        <cfvo type="min"/>
        <cfvo type="max"/>
        <color rgb="FFFCFCFF"/>
        <color rgb="FFF8696B"/>
      </colorScale>
    </cfRule>
  </conditionalFormatting>
  <conditionalFormatting sqref="N6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6">
    <cfRule type="colorScale" priority="68">
      <colorScale>
        <cfvo type="min"/>
        <cfvo type="max"/>
        <color rgb="FFFCFCFF"/>
        <color rgb="FFF8696B"/>
      </colorScale>
    </cfRule>
  </conditionalFormatting>
  <conditionalFormatting sqref="O6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7">
    <cfRule type="colorScale" priority="63">
      <colorScale>
        <cfvo type="min"/>
        <cfvo type="max"/>
        <color rgb="FFFCFCFF"/>
        <color rgb="FFF8696B"/>
      </colorScale>
    </cfRule>
  </conditionalFormatting>
  <conditionalFormatting sqref="N7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7">
    <cfRule type="colorScale" priority="58">
      <colorScale>
        <cfvo type="min"/>
        <cfvo type="max"/>
        <color rgb="FFFCFCFF"/>
        <color rgb="FFF8696B"/>
      </colorScale>
    </cfRule>
  </conditionalFormatting>
  <conditionalFormatting sqref="O7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8">
    <cfRule type="colorScale" priority="53">
      <colorScale>
        <cfvo type="min"/>
        <cfvo type="max"/>
        <color rgb="FFFCFCFF"/>
        <color rgb="FFF8696B"/>
      </colorScale>
    </cfRule>
  </conditionalFormatting>
  <conditionalFormatting sqref="N8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8">
    <cfRule type="colorScale" priority="48">
      <colorScale>
        <cfvo type="min"/>
        <cfvo type="max"/>
        <color rgb="FFFCFCFF"/>
        <color rgb="FFF8696B"/>
      </colorScale>
    </cfRule>
  </conditionalFormatting>
  <conditionalFormatting sqref="O8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9">
    <cfRule type="colorScale" priority="43">
      <colorScale>
        <cfvo type="min"/>
        <cfvo type="max"/>
        <color rgb="FFFCFCFF"/>
        <color rgb="FFF8696B"/>
      </colorScale>
    </cfRule>
  </conditionalFormatting>
  <conditionalFormatting sqref="N9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9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12">
    <cfRule type="cellIs" dxfId="5" priority="2" operator="lessThan">
      <formula>1.5</formula>
    </cfRule>
    <cfRule type="cellIs" dxfId="4" priority="4" operator="lessThan">
      <formula>1.5</formula>
    </cfRule>
  </conditionalFormatting>
  <conditionalFormatting sqref="E12">
    <cfRule type="cellIs" dxfId="3" priority="3" operator="lessThan">
      <formula>1</formula>
    </cfRule>
  </conditionalFormatting>
  <conditionalFormatting sqref="F12">
    <cfRule type="cellIs" dxfId="2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5" sqref="H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63"/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94</v>
      </c>
      <c r="O2" s="154" t="s">
        <v>91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7">
        <v>1.51</v>
      </c>
      <c r="E5" s="47">
        <v>1.43</v>
      </c>
      <c r="F5" s="47">
        <v>1.18</v>
      </c>
      <c r="G5" s="47">
        <f t="shared" ref="G5:G13" si="0">(IF(D5&lt;1.5,1,0))+(IF(E5&lt;1,1,0))+(IF(F5&lt;0.8,1,0))</f>
        <v>0</v>
      </c>
      <c r="H5" s="53">
        <v>9807924.2300000004</v>
      </c>
      <c r="I5" s="53">
        <v>8201564.9800000004</v>
      </c>
      <c r="J5" s="47">
        <f t="shared" ref="J5:J13" si="1">IF(I5&lt;0,1,0)+IF(H5&lt;0,1,0)</f>
        <v>0</v>
      </c>
      <c r="K5" s="51">
        <f t="shared" ref="K5" si="2">SUM(I5/1)</f>
        <v>8201564.9800000004</v>
      </c>
      <c r="L5" s="45">
        <f t="shared" ref="L5:L13" si="3">+H5/K5</f>
        <v>1.195860089375284</v>
      </c>
      <c r="M5" s="43">
        <f t="shared" ref="M5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13" si="5">SUM(G5+J5+M5)</f>
        <v>0</v>
      </c>
      <c r="O5" s="83">
        <v>3</v>
      </c>
      <c r="P5" s="110">
        <v>8488284.9600000009</v>
      </c>
      <c r="Q5" s="111">
        <v>3436564.74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2">
        <v>1.42</v>
      </c>
      <c r="E6" s="47">
        <v>1.34</v>
      </c>
      <c r="F6" s="47">
        <v>1.1299999999999999</v>
      </c>
      <c r="G6" s="42">
        <f t="shared" si="0"/>
        <v>1</v>
      </c>
      <c r="H6" s="53">
        <v>8424006.6999999993</v>
      </c>
      <c r="I6" s="53">
        <v>6112204.9699999997</v>
      </c>
      <c r="J6" s="47">
        <f t="shared" si="1"/>
        <v>0</v>
      </c>
      <c r="K6" s="51">
        <f t="shared" ref="K6" si="6">SUM(I6/2)</f>
        <v>3056102.4849999999</v>
      </c>
      <c r="L6" s="45">
        <f t="shared" si="3"/>
        <v>2.7564542554926783</v>
      </c>
      <c r="M6" s="43">
        <f t="shared" ref="M6" si="7"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 t="shared" si="5"/>
        <v>1</v>
      </c>
      <c r="O6" s="46">
        <f>ต.ค.62!N6</f>
        <v>4</v>
      </c>
      <c r="P6" s="110">
        <v>6683520.0999999996</v>
      </c>
      <c r="Q6" s="53">
        <v>2482803.64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42">
        <v>1.33</v>
      </c>
      <c r="E7" s="47">
        <v>1.26</v>
      </c>
      <c r="F7" s="47">
        <v>1.06</v>
      </c>
      <c r="G7" s="42">
        <f t="shared" si="0"/>
        <v>1</v>
      </c>
      <c r="H7" s="54">
        <v>6867218.2599999998</v>
      </c>
      <c r="I7" s="54">
        <v>4253583.82</v>
      </c>
      <c r="J7" s="47">
        <f t="shared" si="1"/>
        <v>0</v>
      </c>
      <c r="K7" s="51">
        <f t="shared" ref="K7" si="8">SUM(I7/3)</f>
        <v>1417861.2733333334</v>
      </c>
      <c r="L7" s="45">
        <f t="shared" si="3"/>
        <v>4.8433640082823146</v>
      </c>
      <c r="M7" s="43">
        <f t="shared" ref="M7" si="9">IF(AND(I7&lt;0,H7&lt;0),2,IF(AND(I7&gt;0,H7&gt;0),0,IF(AND(H7&lt;0,I7&gt;0),IF(ABS((H7/(I7/3)))&lt;3,0,IF(ABS((H7/(I7/3)))&gt;6,2,1)),IF(AND(H7&gt;0,I7&lt;0),IF(ABS((H7/(I7/3)))&lt;3,2,IF(ABS((H7/(I7/3)))&gt;6,0,1))))))</f>
        <v>0</v>
      </c>
      <c r="N7" s="46">
        <f t="shared" si="5"/>
        <v>1</v>
      </c>
      <c r="O7" s="46">
        <f>พ.ย.62!N7</f>
        <v>1</v>
      </c>
      <c r="P7" s="112">
        <v>5112311.5199999996</v>
      </c>
      <c r="Q7" s="54">
        <v>1130720.17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93">
        <v>1.27</v>
      </c>
      <c r="E8" s="57">
        <v>1.2</v>
      </c>
      <c r="F8" s="47">
        <v>1.03</v>
      </c>
      <c r="G8" s="42">
        <f t="shared" si="0"/>
        <v>1</v>
      </c>
      <c r="H8" s="53">
        <v>5632886.6900000004</v>
      </c>
      <c r="I8" s="53">
        <v>2814946.3</v>
      </c>
      <c r="J8" s="47">
        <f t="shared" si="1"/>
        <v>0</v>
      </c>
      <c r="K8" s="51">
        <f t="shared" ref="K8" si="10">SUM(I8/4)</f>
        <v>703736.57499999995</v>
      </c>
      <c r="L8" s="45">
        <f t="shared" si="3"/>
        <v>8.0042545607353155</v>
      </c>
      <c r="M8" s="43">
        <f t="shared" ref="M8" si="11">IF(AND(I8&lt;0,H8&lt;0),2,IF(AND(I8&gt;0,H8&gt;0),0,IF(AND(H8&lt;0,I8&gt;0),IF(ABS((H8/(I8/4)))&lt;3,0,IF(ABS((H8/(I8/4)))&gt;6,2,1)),IF(AND(H8&gt;0,I8&lt;0),IF(ABS((H8/(I8/4)))&lt;3,2,IF(ABS((H8/(I8/4)))&gt;6,0,1))))))</f>
        <v>0</v>
      </c>
      <c r="N8" s="46">
        <f t="shared" si="5"/>
        <v>1</v>
      </c>
      <c r="O8" s="46">
        <f>ธ.ค.62!N8</f>
        <v>0</v>
      </c>
      <c r="P8" s="100">
        <v>3834080.34</v>
      </c>
      <c r="Q8" s="53">
        <v>477736.57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2">
        <v>1.27</v>
      </c>
      <c r="E9" s="47">
        <v>1.19</v>
      </c>
      <c r="F9" s="47">
        <v>1.01</v>
      </c>
      <c r="G9" s="42">
        <f t="shared" si="0"/>
        <v>1</v>
      </c>
      <c r="H9" s="53">
        <v>5652563.0700000003</v>
      </c>
      <c r="I9" s="53">
        <v>2501337.7999999998</v>
      </c>
      <c r="J9" s="47">
        <f t="shared" si="1"/>
        <v>0</v>
      </c>
      <c r="K9" s="51">
        <f t="shared" ref="K9" si="12">SUM(I9/5)</f>
        <v>500267.55999999994</v>
      </c>
      <c r="L9" s="45">
        <f t="shared" si="3"/>
        <v>11.299079776430039</v>
      </c>
      <c r="M9" s="43">
        <f t="shared" ref="M9" si="13">IF(AND(I9&lt;0,H9&lt;0),2,IF(AND(I9&gt;0,H9&gt;0),0,IF(AND(H9&lt;0,I9&gt;0),IF(ABS((H9/(I9/5)))&lt;3,0,IF(ABS((H9/(I9/5)))&gt;6,2,1)),IF(AND(H9&gt;0,I9&lt;0),IF(ABS((H9/(I9/5)))&lt;3,2,IF(ABS((H9/(I9/5)))&gt;6,0,1))))))</f>
        <v>0</v>
      </c>
      <c r="N9" s="46">
        <f t="shared" si="5"/>
        <v>1</v>
      </c>
      <c r="O9" s="46">
        <f>ม.ค.63!N9</f>
        <v>0</v>
      </c>
      <c r="P9" s="100">
        <v>3773756.72</v>
      </c>
      <c r="Q9" s="53">
        <v>256924.32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ref="K10" si="14">SUM(I10/6)</f>
        <v>945862.18833333335</v>
      </c>
      <c r="L10" s="45">
        <f t="shared" si="3"/>
        <v>9.4483464084204947</v>
      </c>
      <c r="M10" s="43">
        <f t="shared" ref="M10" si="15">IF(AND(I10&lt;0,H10&lt;0),2,IF(AND(I10&gt;0,H10&gt;0),0,IF(AND(H10&lt;0,I10&gt;0),IF(ABS((H10/(I10/6)))&lt;3,0,IF(ABS((H10/(I10/6)))&gt;6,2,1)),IF(AND(H10&gt;0,I10&lt;0),IF(ABS((H10/(I10/6)))&lt;3,2,IF(ABS((H10/(I10/6)))&gt;6,0,1))))))</f>
        <v>0</v>
      </c>
      <c r="N10" s="46">
        <f t="shared" si="5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2">
        <v>1.36</v>
      </c>
      <c r="E11" s="47">
        <v>1.28</v>
      </c>
      <c r="F11" s="47">
        <v>1.0900000000000001</v>
      </c>
      <c r="G11" s="42">
        <f t="shared" si="0"/>
        <v>1</v>
      </c>
      <c r="H11" s="53">
        <v>7276637.4400000004</v>
      </c>
      <c r="I11" s="53">
        <v>3810033.97</v>
      </c>
      <c r="J11" s="47">
        <f t="shared" si="1"/>
        <v>0</v>
      </c>
      <c r="K11" s="51">
        <f t="shared" ref="K11" si="16">SUM(I11/7)</f>
        <v>544290.56714285712</v>
      </c>
      <c r="L11" s="45">
        <f t="shared" si="3"/>
        <v>13.369030953810631</v>
      </c>
      <c r="M11" s="43">
        <f t="shared" ref="M11" si="17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46">
        <f t="shared" si="5"/>
        <v>1</v>
      </c>
      <c r="O11" s="46">
        <f>มี.ค.63!N11</f>
        <v>0</v>
      </c>
      <c r="P11" s="100">
        <v>4709407.2300000004</v>
      </c>
      <c r="Q11" s="53">
        <v>1826033.18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98">
        <v>1.32</v>
      </c>
      <c r="E12" s="57">
        <v>1.23</v>
      </c>
      <c r="F12" s="57">
        <v>1.02</v>
      </c>
      <c r="G12" s="42">
        <f t="shared" si="0"/>
        <v>1</v>
      </c>
      <c r="H12" s="53">
        <v>6616955.7800000003</v>
      </c>
      <c r="I12" s="53">
        <v>2869333.21</v>
      </c>
      <c r="J12" s="47">
        <f t="shared" si="1"/>
        <v>0</v>
      </c>
      <c r="K12" s="51">
        <f t="shared" ref="K12" si="18">SUM(I12/8)</f>
        <v>358666.65125</v>
      </c>
      <c r="L12" s="45">
        <f t="shared" si="3"/>
        <v>18.448762261389643</v>
      </c>
      <c r="M12" s="43">
        <f t="shared" ref="M12" si="19">IF(AND(I12&lt;0,H12&lt;0),2,IF(AND(I12&gt;0,H12&gt;0),0,IF(AND(H12&lt;0,I12&gt;0),IF(ABS((H12/(I12/8)))&lt;3,0,IF(ABS((H12/(I12/8)))&gt;6,2,1)),IF(AND(H12&gt;0,I12&lt;0),IF(ABS((H12/(I12/8)))&lt;3,2,IF(ABS((H12/(I12/8)))&gt;6,0,1))))))</f>
        <v>0</v>
      </c>
      <c r="N12" s="46">
        <f t="shared" si="5"/>
        <v>1</v>
      </c>
      <c r="O12" s="46">
        <f>เม.ย.63!N12</f>
        <v>1</v>
      </c>
      <c r="P12" s="100">
        <v>4018131.83</v>
      </c>
      <c r="Q12" s="53">
        <v>435750.39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4">
        <v>23163</v>
      </c>
      <c r="D13" s="42">
        <v>1.24</v>
      </c>
      <c r="E13" s="47">
        <v>1.1299999999999999</v>
      </c>
      <c r="F13" s="47">
        <v>0.94</v>
      </c>
      <c r="G13" s="42">
        <f t="shared" si="0"/>
        <v>1</v>
      </c>
      <c r="H13" s="53">
        <v>4914590.03</v>
      </c>
      <c r="I13" s="53">
        <v>1557458.03</v>
      </c>
      <c r="J13" s="47">
        <f t="shared" si="1"/>
        <v>0</v>
      </c>
      <c r="K13" s="51">
        <f t="shared" ref="K13" si="20">SUM(I13/9)</f>
        <v>173050.89222222223</v>
      </c>
      <c r="L13" s="45">
        <f t="shared" si="3"/>
        <v>28.399680388177138</v>
      </c>
      <c r="M13" s="43">
        <f t="shared" ref="M13" si="21">IF(AND(I13&lt;0,H13&lt;0),2,IF(AND(I13&gt;0,H13&gt;0),0,IF(AND(H13&lt;0,I13&gt;0),IF(ABS((H13/(I13/9)))&lt;3,0,IF(ABS((H13/(I13/9)))&gt;6,2,1)),IF(AND(H13&gt;0,I13&lt;0),IF(ABS((H13/(I13/9)))&lt;3,2,IF(ABS((H13/(I13/9)))&gt;6,0,1))))))</f>
        <v>0</v>
      </c>
      <c r="N13" s="46">
        <f t="shared" si="5"/>
        <v>1</v>
      </c>
      <c r="O13" s="46">
        <f>พ.ค.63!N13</f>
        <v>1</v>
      </c>
      <c r="P13" s="100">
        <v>2511330.04</v>
      </c>
      <c r="Q13" s="68">
        <v>-1341584.02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/>
      <c r="H14" s="53"/>
      <c r="I14" s="53"/>
      <c r="J14" s="47"/>
      <c r="K14" s="51"/>
      <c r="L14" s="45" t="e">
        <f t="shared" ref="L14:L16" si="22">+H14/K14</f>
        <v>#DIV/0!</v>
      </c>
      <c r="M14" s="43" t="b">
        <f t="shared" ref="M14:M16" si="23">IF(AND(I14&lt;0,H14&lt;0),2,IF(AND(I14&gt;0,H14&gt;0),0,IF(AND(H14&lt;0,I14&gt;0),IF(ABS((H14/(I14/12)))&lt;3,0,IF(ABS((H14/(I14/12)))&gt;6,2,1)),IF(AND(H14&gt;0,I14&lt;0),IF(ABS((H14/(I14/12)))&lt;3,2,IF(ABS((H14/(I14/12)))&gt;6,0,1))))))</f>
        <v>0</v>
      </c>
      <c r="N14" s="46"/>
      <c r="O14" s="46">
        <f>ส.ค.63!N14</f>
        <v>3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/>
      <c r="H15" s="53"/>
      <c r="I15" s="53"/>
      <c r="J15" s="47"/>
      <c r="K15" s="51"/>
      <c r="L15" s="45" t="e">
        <f t="shared" si="22"/>
        <v>#DIV/0!</v>
      </c>
      <c r="M15" s="43" t="b">
        <f t="shared" si="23"/>
        <v>0</v>
      </c>
      <c r="N15" s="46"/>
      <c r="O15" s="46">
        <f>ส.ค.63!N15</f>
        <v>3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/>
      <c r="H16" s="53"/>
      <c r="I16" s="67"/>
      <c r="J16" s="47"/>
      <c r="K16" s="51"/>
      <c r="L16" s="45" t="e">
        <f t="shared" si="22"/>
        <v>#DIV/0!</v>
      </c>
      <c r="M16" s="43" t="b">
        <f t="shared" si="23"/>
        <v>0</v>
      </c>
      <c r="N16" s="46"/>
      <c r="O16" s="46">
        <f>ส.ค.63!N16</f>
        <v>3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35" t="s">
        <v>5</v>
      </c>
      <c r="M19" s="135"/>
      <c r="N19" s="135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35"/>
      <c r="M20" s="135"/>
      <c r="N20" s="135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35" t="s">
        <v>5</v>
      </c>
      <c r="M21" s="135"/>
      <c r="N21" s="135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35"/>
      <c r="M22" s="135"/>
      <c r="N22" s="135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36" t="s">
        <v>5</v>
      </c>
      <c r="L23" s="136"/>
      <c r="M23" s="106"/>
      <c r="N23" s="106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35" t="s">
        <v>5</v>
      </c>
      <c r="M26" s="135"/>
      <c r="N26" s="135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35"/>
      <c r="M27" s="135"/>
      <c r="N27" s="135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19:N20"/>
    <mergeCell ref="L21:N22"/>
    <mergeCell ref="K23:L23"/>
    <mergeCell ref="L26:N27"/>
    <mergeCell ref="O2:O4"/>
  </mergeCells>
  <conditionalFormatting sqref="N14:N16">
    <cfRule type="colorScale" priority="179">
      <colorScale>
        <cfvo type="min"/>
        <cfvo type="max"/>
        <color rgb="FFFCFCFF"/>
        <color rgb="FFF8696B"/>
      </colorScale>
    </cfRule>
    <cfRule type="colorScale" priority="180">
      <colorScale>
        <cfvo type="min"/>
        <cfvo type="max"/>
        <color rgb="FFFFFF00"/>
        <color rgb="FFFF0000"/>
      </colorScale>
    </cfRule>
    <cfRule type="colorScale" priority="181">
      <colorScale>
        <cfvo type="min"/>
        <cfvo type="max"/>
        <color rgb="FFFCFCFF"/>
        <color rgb="FFF8696B"/>
      </colorScale>
    </cfRule>
  </conditionalFormatting>
  <conditionalFormatting sqref="N14:N16">
    <cfRule type="colorScale" priority="182">
      <colorScale>
        <cfvo type="min"/>
        <cfvo type="max"/>
        <color rgb="FFFCFCFF"/>
        <color rgb="FFF8696B"/>
      </colorScale>
    </cfRule>
  </conditionalFormatting>
  <conditionalFormatting sqref="N14:N16">
    <cfRule type="colorScale" priority="183">
      <colorScale>
        <cfvo type="min"/>
        <cfvo type="max"/>
        <color rgb="FFFF7128"/>
        <color theme="6" tint="0.79998168889431442"/>
      </colorScale>
    </cfRule>
  </conditionalFormatting>
  <conditionalFormatting sqref="O14:P16">
    <cfRule type="colorScale" priority="184">
      <colorScale>
        <cfvo type="min"/>
        <cfvo type="max"/>
        <color rgb="FFFCFCFF"/>
        <color rgb="FFF8696B"/>
      </colorScale>
    </cfRule>
    <cfRule type="colorScale" priority="185">
      <colorScale>
        <cfvo type="min"/>
        <cfvo type="max"/>
        <color rgb="FFFFFF00"/>
        <color rgb="FFFF0000"/>
      </colorScale>
    </cfRule>
    <cfRule type="colorScale" priority="186">
      <colorScale>
        <cfvo type="min"/>
        <cfvo type="max"/>
        <color rgb="FFFCFCFF"/>
        <color rgb="FFF8696B"/>
      </colorScale>
    </cfRule>
  </conditionalFormatting>
  <conditionalFormatting sqref="O14:P16">
    <cfRule type="colorScale" priority="187">
      <colorScale>
        <cfvo type="min"/>
        <cfvo type="max"/>
        <color rgb="FFFCFCFF"/>
        <color rgb="FFF8696B"/>
      </colorScale>
    </cfRule>
  </conditionalFormatting>
  <conditionalFormatting sqref="O14:P16">
    <cfRule type="colorScale" priority="188">
      <colorScale>
        <cfvo type="min"/>
        <cfvo type="max"/>
        <color rgb="FFFF7128"/>
        <color theme="6" tint="0.79998168889431442"/>
      </colorScale>
    </cfRule>
  </conditionalFormatting>
  <conditionalFormatting sqref="N5">
    <cfRule type="colorScale" priority="90">
      <colorScale>
        <cfvo type="min"/>
        <cfvo type="max"/>
        <color rgb="FFFCFCFF"/>
        <color rgb="FFF8696B"/>
      </colorScale>
    </cfRule>
    <cfRule type="colorScale" priority="92">
      <colorScale>
        <cfvo type="min"/>
        <cfvo type="max"/>
        <color rgb="FFFFFF00"/>
        <color rgb="FFFF0000"/>
      </colorScale>
    </cfRule>
    <cfRule type="colorScale" priority="94">
      <colorScale>
        <cfvo type="min"/>
        <cfvo type="max"/>
        <color rgb="FFFCFCFF"/>
        <color rgb="FFF8696B"/>
      </colorScale>
    </cfRule>
  </conditionalFormatting>
  <conditionalFormatting sqref="N5">
    <cfRule type="colorScale" priority="93">
      <colorScale>
        <cfvo type="min"/>
        <cfvo type="max"/>
        <color rgb="FFFCFCFF"/>
        <color rgb="FFF8696B"/>
      </colorScale>
    </cfRule>
  </conditionalFormatting>
  <conditionalFormatting sqref="N5">
    <cfRule type="colorScale" priority="9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85">
      <colorScale>
        <cfvo type="min"/>
        <cfvo type="max"/>
        <color rgb="FFFCFCFF"/>
        <color rgb="FFF8696B"/>
      </colorScale>
    </cfRule>
    <cfRule type="colorScale" priority="87">
      <colorScale>
        <cfvo type="min"/>
        <cfvo type="max"/>
        <color rgb="FFFFFF00"/>
        <color rgb="FFFF0000"/>
      </colorScale>
    </cfRule>
    <cfRule type="colorScale" priority="89">
      <colorScale>
        <cfvo type="min"/>
        <cfvo type="max"/>
        <color rgb="FFFCFCFF"/>
        <color rgb="FFF8696B"/>
      </colorScale>
    </cfRule>
  </conditionalFormatting>
  <conditionalFormatting sqref="O5">
    <cfRule type="colorScale" priority="88">
      <colorScale>
        <cfvo type="min"/>
        <cfvo type="max"/>
        <color rgb="FFFCFCFF"/>
        <color rgb="FFF8696B"/>
      </colorScale>
    </cfRule>
  </conditionalFormatting>
  <conditionalFormatting sqref="O5">
    <cfRule type="colorScale" priority="86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6">
    <cfRule type="colorScale" priority="83">
      <colorScale>
        <cfvo type="min"/>
        <cfvo type="max"/>
        <color rgb="FFFCFCFF"/>
        <color rgb="FFF8696B"/>
      </colorScale>
    </cfRule>
  </conditionalFormatting>
  <conditionalFormatting sqref="N6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6">
    <cfRule type="colorScale" priority="78">
      <colorScale>
        <cfvo type="min"/>
        <cfvo type="max"/>
        <color rgb="FFFCFCFF"/>
        <color rgb="FFF8696B"/>
      </colorScale>
    </cfRule>
  </conditionalFormatting>
  <conditionalFormatting sqref="O6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7">
    <cfRule type="colorScale" priority="73">
      <colorScale>
        <cfvo type="min"/>
        <cfvo type="max"/>
        <color rgb="FFFCFCFF"/>
        <color rgb="FFF8696B"/>
      </colorScale>
    </cfRule>
  </conditionalFormatting>
  <conditionalFormatting sqref="N7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7">
    <cfRule type="colorScale" priority="68">
      <colorScale>
        <cfvo type="min"/>
        <cfvo type="max"/>
        <color rgb="FFFCFCFF"/>
        <color rgb="FFF8696B"/>
      </colorScale>
    </cfRule>
  </conditionalFormatting>
  <conditionalFormatting sqref="O7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8">
    <cfRule type="colorScale" priority="63">
      <colorScale>
        <cfvo type="min"/>
        <cfvo type="max"/>
        <color rgb="FFFCFCFF"/>
        <color rgb="FFF8696B"/>
      </colorScale>
    </cfRule>
  </conditionalFormatting>
  <conditionalFormatting sqref="N8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8">
    <cfRule type="colorScale" priority="58">
      <colorScale>
        <cfvo type="min"/>
        <cfvo type="max"/>
        <color rgb="FFFCFCFF"/>
        <color rgb="FFF8696B"/>
      </colorScale>
    </cfRule>
  </conditionalFormatting>
  <conditionalFormatting sqref="O8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9">
    <cfRule type="colorScale" priority="53">
      <colorScale>
        <cfvo type="min"/>
        <cfvo type="max"/>
        <color rgb="FFFCFCFF"/>
        <color rgb="FFF8696B"/>
      </colorScale>
    </cfRule>
  </conditionalFormatting>
  <conditionalFormatting sqref="N9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9">
    <cfRule type="colorScale" priority="48">
      <colorScale>
        <cfvo type="min"/>
        <cfvo type="max"/>
        <color rgb="FFFCFCFF"/>
        <color rgb="FFF8696B"/>
      </colorScale>
    </cfRule>
  </conditionalFormatting>
  <conditionalFormatting sqref="O9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4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3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E12">
    <cfRule type="cellIs" dxfId="1" priority="13" operator="lessThan">
      <formula>1</formula>
    </cfRule>
  </conditionalFormatting>
  <conditionalFormatting sqref="F12">
    <cfRule type="cellIs" dxfId="0" priority="11" operator="lessThan">
      <formula>0.8</formula>
    </cfRule>
  </conditionalFormatting>
  <conditionalFormatting sqref="N13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13">
    <cfRule type="colorScale" priority="9">
      <colorScale>
        <cfvo type="min"/>
        <cfvo type="max"/>
        <color rgb="FFFCFCFF"/>
        <color rgb="FFF8696B"/>
      </colorScale>
    </cfRule>
  </conditionalFormatting>
  <conditionalFormatting sqref="N13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13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13">
    <cfRule type="colorScale" priority="4">
      <colorScale>
        <cfvo type="min"/>
        <cfvo type="max"/>
        <color rgb="FFFCFCFF"/>
        <color rgb="FFF8696B"/>
      </colorScale>
    </cfRule>
  </conditionalFormatting>
  <conditionalFormatting sqref="O13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59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41">
        <v>43815</v>
      </c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60</v>
      </c>
      <c r="O2" s="154" t="s">
        <v>61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7" sqref="P2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0" t="s">
        <v>53</v>
      </c>
      <c r="P1" s="91">
        <v>242178</v>
      </c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63</v>
      </c>
      <c r="O2" s="154" t="s">
        <v>64</v>
      </c>
      <c r="P2" s="145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45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45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92">
        <v>242205</v>
      </c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66</v>
      </c>
      <c r="O2" s="154" t="s">
        <v>67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3">
        <v>0.84</v>
      </c>
      <c r="E6" s="93">
        <v>0.78</v>
      </c>
      <c r="F6" s="93">
        <v>0.53</v>
      </c>
      <c r="G6" s="55">
        <f t="shared" si="0"/>
        <v>3</v>
      </c>
      <c r="H6" s="94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93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94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3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94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94">
        <v>-30469.21</v>
      </c>
      <c r="J8" s="95">
        <f t="shared" si="1"/>
        <v>1</v>
      </c>
      <c r="K8" s="96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3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94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3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94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7">
        <v>1.4</v>
      </c>
      <c r="E13" s="57">
        <v>1.3</v>
      </c>
      <c r="F13" s="47">
        <v>1.1200000000000001</v>
      </c>
      <c r="G13" s="93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7">
        <v>1.4</v>
      </c>
      <c r="E18" s="47">
        <v>1.24</v>
      </c>
      <c r="F18" s="47">
        <v>0.82</v>
      </c>
      <c r="G18" s="93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94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3">
        <v>1.28</v>
      </c>
      <c r="E19" s="47">
        <v>1.1399999999999999</v>
      </c>
      <c r="F19" s="93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94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94">
        <v>-450495.23</v>
      </c>
      <c r="J20" s="93">
        <f t="shared" si="1"/>
        <v>1</v>
      </c>
      <c r="K20" s="96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9" t="s">
        <v>53</v>
      </c>
      <c r="Q1" s="41">
        <v>43906</v>
      </c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69</v>
      </c>
      <c r="O2" s="154" t="s">
        <v>79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3.42</v>
      </c>
      <c r="E5" s="57">
        <v>3.2</v>
      </c>
      <c r="F5" s="57">
        <v>1.4</v>
      </c>
      <c r="G5" s="47">
        <f t="shared" ref="G5:G20" si="0">(IF(D5&lt;1.5,1,0))+(IF(E5&lt;1,1,0))+(IF(F5&lt;0.8,1,0))</f>
        <v>0</v>
      </c>
      <c r="H5" s="53">
        <v>543345911.69000006</v>
      </c>
      <c r="I5" s="53">
        <v>59132736.340000004</v>
      </c>
      <c r="J5" s="47">
        <f t="shared" ref="J5:J20" si="1">IF(I5&lt;0,1,0)+IF(H5&lt;0,1,0)</f>
        <v>0</v>
      </c>
      <c r="K5" s="51">
        <f t="shared" ref="K5:K20" si="2">SUM(I5/5)</f>
        <v>11826547.268000001</v>
      </c>
      <c r="L5" s="45">
        <f>+H5/K5</f>
        <v>45.942902808174019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ม.ค.63!N5</f>
        <v>0</v>
      </c>
      <c r="P5" s="53">
        <v>102107206.59</v>
      </c>
      <c r="Q5" s="53">
        <v>88924158.299999997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0.53</v>
      </c>
      <c r="G6" s="55">
        <f t="shared" si="0"/>
        <v>3</v>
      </c>
      <c r="H6" s="68">
        <v>-26828233.129999999</v>
      </c>
      <c r="I6" s="53">
        <v>17020466.16</v>
      </c>
      <c r="J6" s="55">
        <f>IF(I6&lt;0,1,0)+IF(H6&lt;0,1,0)</f>
        <v>1</v>
      </c>
      <c r="K6" s="51">
        <f t="shared" si="2"/>
        <v>3404093.2319999998</v>
      </c>
      <c r="L6" s="45">
        <f>+H6/K6</f>
        <v>-7.8811687288123018</v>
      </c>
      <c r="M6" s="42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46">
        <f>SUM(G6+J6+M6)</f>
        <v>6</v>
      </c>
      <c r="O6" s="46">
        <f>ม.ค.63!N6</f>
        <v>6</v>
      </c>
      <c r="P6" s="53">
        <v>34493349.140000001</v>
      </c>
      <c r="Q6" s="68">
        <v>-83585283.189999998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1.32</v>
      </c>
      <c r="E7" s="47">
        <v>1.17</v>
      </c>
      <c r="F7" s="47">
        <v>0.87</v>
      </c>
      <c r="G7" s="42">
        <f t="shared" si="0"/>
        <v>1</v>
      </c>
      <c r="H7" s="53">
        <v>9308179.0099999998</v>
      </c>
      <c r="I7" s="53">
        <v>6252313.5</v>
      </c>
      <c r="J7" s="47">
        <f t="shared" si="1"/>
        <v>0</v>
      </c>
      <c r="K7" s="51">
        <f t="shared" si="2"/>
        <v>1250462.7</v>
      </c>
      <c r="L7" s="45">
        <f t="shared" ref="L7:L20" si="5">+H7/K7</f>
        <v>7.4437878155022137</v>
      </c>
      <c r="M7" s="43">
        <f t="shared" si="4"/>
        <v>0</v>
      </c>
      <c r="N7" s="46">
        <f t="shared" si="3"/>
        <v>1</v>
      </c>
      <c r="O7" s="46">
        <f>ม.ค.63!N7</f>
        <v>1</v>
      </c>
      <c r="P7" s="53">
        <v>7637526.9500000002</v>
      </c>
      <c r="Q7" s="68">
        <v>-3756151.12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2.13</v>
      </c>
      <c r="E8" s="47">
        <v>1.86</v>
      </c>
      <c r="F8" s="57">
        <v>1.5</v>
      </c>
      <c r="G8" s="66">
        <f t="shared" si="0"/>
        <v>0</v>
      </c>
      <c r="H8" s="53">
        <v>15230450.689999999</v>
      </c>
      <c r="I8" s="68">
        <v>-868755.08</v>
      </c>
      <c r="J8" s="55">
        <f t="shared" si="1"/>
        <v>1</v>
      </c>
      <c r="K8" s="59">
        <f t="shared" si="2"/>
        <v>-173751.016</v>
      </c>
      <c r="L8" s="45">
        <f t="shared" si="5"/>
        <v>-87.656757586959941</v>
      </c>
      <c r="M8" s="43">
        <f t="shared" si="4"/>
        <v>0</v>
      </c>
      <c r="N8" s="46">
        <f t="shared" si="3"/>
        <v>1</v>
      </c>
      <c r="O8" s="46">
        <f>ม.ค.63!N8</f>
        <v>1</v>
      </c>
      <c r="P8" s="53">
        <v>4365512.5199999996</v>
      </c>
      <c r="Q8" s="53">
        <v>6767725.3300000001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1.88</v>
      </c>
      <c r="E9" s="47">
        <v>1.67</v>
      </c>
      <c r="F9" s="47">
        <v>1.47</v>
      </c>
      <c r="G9" s="47">
        <f t="shared" si="0"/>
        <v>0</v>
      </c>
      <c r="H9" s="53">
        <v>17118186.5</v>
      </c>
      <c r="I9" s="53">
        <v>5584297.1500000004</v>
      </c>
      <c r="J9" s="47">
        <f t="shared" si="1"/>
        <v>0</v>
      </c>
      <c r="K9" s="51">
        <f t="shared" si="2"/>
        <v>1116859.4300000002</v>
      </c>
      <c r="L9" s="45">
        <f t="shared" si="5"/>
        <v>15.327073434836825</v>
      </c>
      <c r="M9" s="43">
        <f t="shared" si="4"/>
        <v>0</v>
      </c>
      <c r="N9" s="46">
        <f t="shared" si="3"/>
        <v>0</v>
      </c>
      <c r="O9" s="46">
        <f>ม.ค.63!N9</f>
        <v>0</v>
      </c>
      <c r="P9" s="53">
        <v>7740018.7000000002</v>
      </c>
      <c r="Q9" s="53">
        <v>9260133.1699999999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1.27</v>
      </c>
      <c r="E10" s="47">
        <v>1.19</v>
      </c>
      <c r="F10" s="47">
        <v>1.01</v>
      </c>
      <c r="G10" s="42">
        <f t="shared" si="0"/>
        <v>1</v>
      </c>
      <c r="H10" s="53">
        <v>5652563.0700000003</v>
      </c>
      <c r="I10" s="53">
        <v>2501337.7999999998</v>
      </c>
      <c r="J10" s="47">
        <f t="shared" si="1"/>
        <v>0</v>
      </c>
      <c r="K10" s="51">
        <f t="shared" si="2"/>
        <v>500267.55999999994</v>
      </c>
      <c r="L10" s="45">
        <f t="shared" si="5"/>
        <v>11.299079776430039</v>
      </c>
      <c r="M10" s="43">
        <f t="shared" si="4"/>
        <v>0</v>
      </c>
      <c r="N10" s="46">
        <f t="shared" si="3"/>
        <v>1</v>
      </c>
      <c r="O10" s="46">
        <f>ม.ค.63!N10</f>
        <v>1</v>
      </c>
      <c r="P10" s="53">
        <v>3773756.72</v>
      </c>
      <c r="Q10" s="53">
        <v>256924.32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1.54</v>
      </c>
      <c r="E11" s="47">
        <v>1.38</v>
      </c>
      <c r="F11" s="47">
        <v>0.91</v>
      </c>
      <c r="G11" s="47">
        <f t="shared" si="0"/>
        <v>0</v>
      </c>
      <c r="H11" s="53">
        <v>27595185.550000001</v>
      </c>
      <c r="I11" s="53">
        <v>16281355.560000001</v>
      </c>
      <c r="J11" s="47">
        <f t="shared" si="1"/>
        <v>0</v>
      </c>
      <c r="K11" s="51">
        <f t="shared" si="2"/>
        <v>3256271.1120000002</v>
      </c>
      <c r="L11" s="45">
        <f t="shared" si="5"/>
        <v>8.4744742071095711</v>
      </c>
      <c r="M11" s="43">
        <f t="shared" si="4"/>
        <v>0</v>
      </c>
      <c r="N11" s="46">
        <f t="shared" si="3"/>
        <v>0</v>
      </c>
      <c r="O11" s="46">
        <f>ม.ค.63!N11</f>
        <v>0</v>
      </c>
      <c r="P11" s="53">
        <v>19338645.280000001</v>
      </c>
      <c r="Q11" s="68">
        <v>-4763657.9000000004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1.45</v>
      </c>
      <c r="E12" s="47">
        <v>1.29</v>
      </c>
      <c r="F12" s="47">
        <v>0.96</v>
      </c>
      <c r="G12" s="42">
        <f t="shared" si="0"/>
        <v>1</v>
      </c>
      <c r="H12" s="53">
        <v>14139892.6</v>
      </c>
      <c r="I12" s="53">
        <v>9335488.4100000001</v>
      </c>
      <c r="J12" s="47">
        <f t="shared" si="1"/>
        <v>0</v>
      </c>
      <c r="K12" s="51">
        <f t="shared" si="2"/>
        <v>1867097.682</v>
      </c>
      <c r="L12" s="45">
        <f t="shared" si="5"/>
        <v>7.5731938057218366</v>
      </c>
      <c r="M12" s="43">
        <f t="shared" si="4"/>
        <v>0</v>
      </c>
      <c r="N12" s="46">
        <f t="shared" si="3"/>
        <v>1</v>
      </c>
      <c r="O12" s="46">
        <f>ม.ค.63!N12</f>
        <v>1</v>
      </c>
      <c r="P12" s="53">
        <v>10276508.119999999</v>
      </c>
      <c r="Q12" s="68">
        <v>-1113869.8400000001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1.43</v>
      </c>
      <c r="E13" s="47">
        <v>1.34</v>
      </c>
      <c r="F13" s="47">
        <v>1.1599999999999999</v>
      </c>
      <c r="G13" s="42">
        <f t="shared" si="0"/>
        <v>1</v>
      </c>
      <c r="H13" s="53">
        <v>12165965.199999999</v>
      </c>
      <c r="I13" s="53">
        <v>7602359.4800000004</v>
      </c>
      <c r="J13" s="47">
        <f t="shared" si="1"/>
        <v>0</v>
      </c>
      <c r="K13" s="51">
        <f t="shared" si="2"/>
        <v>1520471.8960000002</v>
      </c>
      <c r="L13" s="45">
        <f t="shared" si="5"/>
        <v>8.0014403633541402</v>
      </c>
      <c r="M13" s="43">
        <f t="shared" si="4"/>
        <v>0</v>
      </c>
      <c r="N13" s="46">
        <f t="shared" si="3"/>
        <v>1</v>
      </c>
      <c r="O13" s="46">
        <f>ม.ค.63!N13</f>
        <v>1</v>
      </c>
      <c r="P13" s="53">
        <v>10125831.16</v>
      </c>
      <c r="Q13" s="53">
        <v>4434214.07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2.06</v>
      </c>
      <c r="E14" s="47">
        <v>1.91</v>
      </c>
      <c r="F14" s="47">
        <v>1.46</v>
      </c>
      <c r="G14" s="47">
        <f t="shared" si="0"/>
        <v>0</v>
      </c>
      <c r="H14" s="53">
        <v>23087113.559999999</v>
      </c>
      <c r="I14" s="53">
        <v>12367750.550000001</v>
      </c>
      <c r="J14" s="47">
        <f t="shared" si="1"/>
        <v>0</v>
      </c>
      <c r="K14" s="51">
        <f t="shared" si="2"/>
        <v>2473550.1100000003</v>
      </c>
      <c r="L14" s="45">
        <f t="shared" si="5"/>
        <v>9.3335944425237436</v>
      </c>
      <c r="M14" s="43">
        <f t="shared" si="4"/>
        <v>0</v>
      </c>
      <c r="N14" s="46">
        <f t="shared" si="3"/>
        <v>0</v>
      </c>
      <c r="O14" s="46">
        <f>ม.ค.63!N14</f>
        <v>0</v>
      </c>
      <c r="P14" s="53">
        <v>13467677.15</v>
      </c>
      <c r="Q14" s="53">
        <v>9925738.5600000005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2.0699999999999998</v>
      </c>
      <c r="E15" s="47">
        <v>1.87</v>
      </c>
      <c r="F15" s="47">
        <v>1.42</v>
      </c>
      <c r="G15" s="47">
        <f t="shared" si="0"/>
        <v>0</v>
      </c>
      <c r="H15" s="53">
        <v>18916928.100000001</v>
      </c>
      <c r="I15" s="53">
        <v>9175460.5999999996</v>
      </c>
      <c r="J15" s="47">
        <f t="shared" si="1"/>
        <v>0</v>
      </c>
      <c r="K15" s="51">
        <f t="shared" si="2"/>
        <v>1835092.1199999999</v>
      </c>
      <c r="L15" s="45">
        <f t="shared" si="5"/>
        <v>10.308435142754579</v>
      </c>
      <c r="M15" s="43">
        <f t="shared" si="4"/>
        <v>0</v>
      </c>
      <c r="N15" s="46">
        <f t="shared" si="3"/>
        <v>0</v>
      </c>
      <c r="O15" s="46">
        <f>ม.ค.63!N15</f>
        <v>0</v>
      </c>
      <c r="P15" s="53">
        <v>11283335.15</v>
      </c>
      <c r="Q15" s="53">
        <v>7411146.6699999999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</v>
      </c>
      <c r="E16" s="57">
        <v>2.7</v>
      </c>
      <c r="F16" s="47">
        <v>2.39</v>
      </c>
      <c r="G16" s="47">
        <f t="shared" si="0"/>
        <v>0</v>
      </c>
      <c r="H16" s="53">
        <v>66556480.609999999</v>
      </c>
      <c r="I16" s="53">
        <v>26209946.84</v>
      </c>
      <c r="J16" s="47">
        <f t="shared" si="1"/>
        <v>0</v>
      </c>
      <c r="K16" s="51">
        <f t="shared" si="2"/>
        <v>5241989.3679999998</v>
      </c>
      <c r="L16" s="45">
        <f t="shared" si="5"/>
        <v>12.69679809278087</v>
      </c>
      <c r="M16" s="43">
        <f t="shared" si="4"/>
        <v>0</v>
      </c>
      <c r="N16" s="46">
        <f t="shared" si="3"/>
        <v>0</v>
      </c>
      <c r="O16" s="46">
        <f>ม.ค.63!N16</f>
        <v>0</v>
      </c>
      <c r="P16" s="53">
        <v>19669768.59</v>
      </c>
      <c r="Q16" s="53">
        <v>36987552.939999998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2.09</v>
      </c>
      <c r="E17" s="47">
        <v>1.83</v>
      </c>
      <c r="F17" s="47">
        <v>1.59</v>
      </c>
      <c r="G17" s="47">
        <f t="shared" si="0"/>
        <v>0</v>
      </c>
      <c r="H17" s="53">
        <v>7166829.6100000003</v>
      </c>
      <c r="I17" s="53">
        <v>4059444.44</v>
      </c>
      <c r="J17" s="47">
        <f t="shared" si="1"/>
        <v>0</v>
      </c>
      <c r="K17" s="51">
        <f t="shared" si="2"/>
        <v>811888.88800000004</v>
      </c>
      <c r="L17" s="45">
        <f t="shared" si="5"/>
        <v>8.8273527522401558</v>
      </c>
      <c r="M17" s="43">
        <f t="shared" si="4"/>
        <v>0</v>
      </c>
      <c r="N17" s="46">
        <f t="shared" si="3"/>
        <v>0</v>
      </c>
      <c r="O17" s="46">
        <f>ม.ค.63!N17</f>
        <v>0</v>
      </c>
      <c r="P17" s="53">
        <v>5216940.3</v>
      </c>
      <c r="Q17" s="53">
        <v>3914969.56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1.46</v>
      </c>
      <c r="E18" s="57">
        <v>1.3</v>
      </c>
      <c r="F18" s="47">
        <v>0.93</v>
      </c>
      <c r="G18" s="42">
        <f t="shared" si="0"/>
        <v>1</v>
      </c>
      <c r="H18" s="53">
        <v>9605845.4900000002</v>
      </c>
      <c r="I18" s="53">
        <v>4251096.08</v>
      </c>
      <c r="J18" s="47">
        <f t="shared" si="1"/>
        <v>0</v>
      </c>
      <c r="K18" s="51">
        <f t="shared" si="2"/>
        <v>850219.21600000001</v>
      </c>
      <c r="L18" s="45">
        <f t="shared" si="5"/>
        <v>11.298080905760191</v>
      </c>
      <c r="M18" s="43">
        <f t="shared" si="4"/>
        <v>0</v>
      </c>
      <c r="N18" s="46">
        <f t="shared" si="3"/>
        <v>1</v>
      </c>
      <c r="O18" s="46">
        <f>ม.ค.63!N18</f>
        <v>1</v>
      </c>
      <c r="P18" s="53">
        <v>8039218.96</v>
      </c>
      <c r="Q18" s="68">
        <v>-1508687.74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1.22</v>
      </c>
      <c r="F19" s="42">
        <v>0.68</v>
      </c>
      <c r="G19" s="42">
        <f t="shared" si="0"/>
        <v>2</v>
      </c>
      <c r="H19" s="53">
        <v>4665596.29</v>
      </c>
      <c r="I19" s="53">
        <v>9075662.3399999999</v>
      </c>
      <c r="J19" s="47">
        <f t="shared" si="1"/>
        <v>0</v>
      </c>
      <c r="K19" s="51">
        <f t="shared" si="2"/>
        <v>1815132.4679999999</v>
      </c>
      <c r="L19" s="45">
        <f t="shared" si="5"/>
        <v>2.5703888681693727</v>
      </c>
      <c r="M19" s="43">
        <f t="shared" si="4"/>
        <v>0</v>
      </c>
      <c r="N19" s="46">
        <f t="shared" si="3"/>
        <v>2</v>
      </c>
      <c r="O19" s="46">
        <f>ม.ค.63!N19</f>
        <v>2</v>
      </c>
      <c r="P19" s="53">
        <v>10911665.58</v>
      </c>
      <c r="Q19" s="68">
        <v>-4035844.79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1.84</v>
      </c>
      <c r="E20" s="47">
        <v>1.69</v>
      </c>
      <c r="F20" s="47">
        <v>1.24</v>
      </c>
      <c r="G20" s="47">
        <f t="shared" si="0"/>
        <v>0</v>
      </c>
      <c r="H20" s="53">
        <v>6469105.2699999996</v>
      </c>
      <c r="I20" s="53">
        <v>453097.94</v>
      </c>
      <c r="J20" s="47">
        <f t="shared" si="1"/>
        <v>0</v>
      </c>
      <c r="K20" s="44">
        <f t="shared" si="2"/>
        <v>90619.588000000003</v>
      </c>
      <c r="L20" s="45">
        <f t="shared" si="5"/>
        <v>71.387493728177176</v>
      </c>
      <c r="M20" s="43">
        <f t="shared" si="4"/>
        <v>0</v>
      </c>
      <c r="N20" s="46">
        <f t="shared" si="3"/>
        <v>0</v>
      </c>
      <c r="O20" s="46">
        <f>ม.ค.63!N20</f>
        <v>1</v>
      </c>
      <c r="P20" s="53">
        <v>2132909.52</v>
      </c>
      <c r="Q20" s="53">
        <v>1844379.65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70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9" t="s">
        <v>53</v>
      </c>
      <c r="Q1" s="41">
        <v>43938</v>
      </c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71</v>
      </c>
      <c r="O2" s="154" t="s">
        <v>78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3.6</v>
      </c>
      <c r="E5" s="47">
        <v>3.37</v>
      </c>
      <c r="F5" s="47">
        <v>1.38</v>
      </c>
      <c r="G5" s="47">
        <f t="shared" ref="G5:G20" si="0">(IF(D5&lt;1.5,1,0))+(IF(E5&lt;1,1,0))+(IF(F5&lt;0.8,1,0))</f>
        <v>0</v>
      </c>
      <c r="H5" s="53">
        <v>562013114.41999996</v>
      </c>
      <c r="I5" s="53">
        <v>89737693.349999994</v>
      </c>
      <c r="J5" s="47">
        <f t="shared" ref="J5:J20" si="1">IF(I5&lt;0,1,0)+IF(H5&lt;0,1,0)</f>
        <v>0</v>
      </c>
      <c r="K5" s="51">
        <f t="shared" ref="K5:K20" si="2">SUM(I5/6)</f>
        <v>14956282.225</v>
      </c>
      <c r="L5" s="45">
        <f>+H5/K5</f>
        <v>37.577059991591589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ก.พ.63!N5</f>
        <v>0</v>
      </c>
      <c r="P5" s="100">
        <v>124085341.91</v>
      </c>
      <c r="Q5" s="53">
        <v>82670759.810000002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0.54</v>
      </c>
      <c r="G6" s="55">
        <f t="shared" si="0"/>
        <v>3</v>
      </c>
      <c r="H6" s="68">
        <v>-26471753.690000001</v>
      </c>
      <c r="I6" s="53">
        <v>19189355.399999999</v>
      </c>
      <c r="J6" s="55">
        <f>IF(I6&lt;0,1,0)+IF(H6&lt;0,1,0)</f>
        <v>1</v>
      </c>
      <c r="K6" s="51">
        <f t="shared" si="2"/>
        <v>3198225.9</v>
      </c>
      <c r="L6" s="45">
        <f>+H6/K6</f>
        <v>-8.2770118552288636</v>
      </c>
      <c r="M6" s="42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2</v>
      </c>
      <c r="N6" s="46">
        <f>SUM(G6+J6+M6)</f>
        <v>6</v>
      </c>
      <c r="O6" s="46">
        <f>ก.พ.63!N6</f>
        <v>6</v>
      </c>
      <c r="P6" s="100">
        <v>36275066.060000002</v>
      </c>
      <c r="Q6" s="68">
        <v>-79407740.170000002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1.46</v>
      </c>
      <c r="E7" s="57">
        <v>1.3</v>
      </c>
      <c r="F7" s="47">
        <v>0.99</v>
      </c>
      <c r="G7" s="42">
        <f t="shared" si="0"/>
        <v>1</v>
      </c>
      <c r="H7" s="53">
        <v>13241858.32</v>
      </c>
      <c r="I7" s="53">
        <v>9023760.0999999996</v>
      </c>
      <c r="J7" s="47">
        <f t="shared" si="1"/>
        <v>0</v>
      </c>
      <c r="K7" s="51">
        <f t="shared" si="2"/>
        <v>1503960.0166666666</v>
      </c>
      <c r="L7" s="45">
        <f t="shared" ref="L7:L20" si="5">+H7/K7</f>
        <v>8.8046611434184747</v>
      </c>
      <c r="M7" s="43">
        <f t="shared" si="4"/>
        <v>0</v>
      </c>
      <c r="N7" s="46">
        <f t="shared" si="3"/>
        <v>1</v>
      </c>
      <c r="O7" s="46">
        <f>ก.พ.63!N7</f>
        <v>1</v>
      </c>
      <c r="P7" s="100">
        <v>9314016.2400000002</v>
      </c>
      <c r="Q7" s="68">
        <v>-361274.03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2.29</v>
      </c>
      <c r="E8" s="47">
        <v>2.08</v>
      </c>
      <c r="F8" s="47">
        <v>1.76</v>
      </c>
      <c r="G8" s="66">
        <f t="shared" si="0"/>
        <v>0</v>
      </c>
      <c r="H8" s="53">
        <v>17702646.260000002</v>
      </c>
      <c r="I8" s="53">
        <v>1092895.32</v>
      </c>
      <c r="J8" s="66">
        <f t="shared" si="1"/>
        <v>0</v>
      </c>
      <c r="K8" s="51">
        <f t="shared" si="2"/>
        <v>182149.22</v>
      </c>
      <c r="L8" s="45">
        <f t="shared" si="5"/>
        <v>97.187603987543852</v>
      </c>
      <c r="M8" s="43">
        <f t="shared" si="4"/>
        <v>0</v>
      </c>
      <c r="N8" s="46">
        <f t="shared" si="3"/>
        <v>0</v>
      </c>
      <c r="O8" s="46">
        <f>ก.พ.63!N8</f>
        <v>1</v>
      </c>
      <c r="P8" s="100">
        <v>6027988.7400000002</v>
      </c>
      <c r="Q8" s="53">
        <v>10397366.83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1.89</v>
      </c>
      <c r="E9" s="57">
        <v>1.7</v>
      </c>
      <c r="F9" s="47">
        <v>1.53</v>
      </c>
      <c r="G9" s="47">
        <f t="shared" si="0"/>
        <v>0</v>
      </c>
      <c r="H9" s="53">
        <v>18647039.789999999</v>
      </c>
      <c r="I9" s="53">
        <v>8640304.3499999996</v>
      </c>
      <c r="J9" s="47">
        <f t="shared" si="1"/>
        <v>0</v>
      </c>
      <c r="K9" s="51">
        <f t="shared" si="2"/>
        <v>1440050.7249999999</v>
      </c>
      <c r="L9" s="45">
        <f t="shared" si="5"/>
        <v>12.948877054313487</v>
      </c>
      <c r="M9" s="43">
        <f t="shared" si="4"/>
        <v>0</v>
      </c>
      <c r="N9" s="46">
        <f t="shared" si="3"/>
        <v>0</v>
      </c>
      <c r="O9" s="46">
        <f>ก.พ.63!N9</f>
        <v>0</v>
      </c>
      <c r="P9" s="100">
        <v>11227170.210000001</v>
      </c>
      <c r="Q9" s="53">
        <v>11130064.4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si="2"/>
        <v>945862.18833333335</v>
      </c>
      <c r="L10" s="45">
        <f t="shared" si="5"/>
        <v>9.4483464084204947</v>
      </c>
      <c r="M10" s="43">
        <f t="shared" si="4"/>
        <v>0</v>
      </c>
      <c r="N10" s="46">
        <f t="shared" si="3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1.51</v>
      </c>
      <c r="E11" s="47">
        <v>1.36</v>
      </c>
      <c r="F11" s="47">
        <v>0.98</v>
      </c>
      <c r="G11" s="47">
        <f t="shared" si="0"/>
        <v>0</v>
      </c>
      <c r="H11" s="53">
        <v>28059409.68</v>
      </c>
      <c r="I11" s="53">
        <v>22894338.48</v>
      </c>
      <c r="J11" s="47">
        <f t="shared" si="1"/>
        <v>0</v>
      </c>
      <c r="K11" s="51">
        <f t="shared" si="2"/>
        <v>3815723.08</v>
      </c>
      <c r="L11" s="45">
        <f t="shared" si="5"/>
        <v>7.3536284189679719</v>
      </c>
      <c r="M11" s="43">
        <f t="shared" si="4"/>
        <v>0</v>
      </c>
      <c r="N11" s="46">
        <f t="shared" si="3"/>
        <v>0</v>
      </c>
      <c r="O11" s="46">
        <f>ก.พ.63!N11</f>
        <v>0</v>
      </c>
      <c r="P11" s="100">
        <v>22228032.920000002</v>
      </c>
      <c r="Q11" s="68">
        <v>-1576255.79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1.44</v>
      </c>
      <c r="E12" s="47">
        <v>1.28</v>
      </c>
      <c r="F12" s="47">
        <v>0.91</v>
      </c>
      <c r="G12" s="42">
        <f t="shared" si="0"/>
        <v>1</v>
      </c>
      <c r="H12" s="53">
        <v>13318413.9</v>
      </c>
      <c r="I12" s="53">
        <v>8677260.5199999996</v>
      </c>
      <c r="J12" s="47">
        <f t="shared" si="1"/>
        <v>0</v>
      </c>
      <c r="K12" s="51">
        <f t="shared" si="2"/>
        <v>1446210.0866666667</v>
      </c>
      <c r="L12" s="45">
        <f t="shared" si="5"/>
        <v>9.2091833840664723</v>
      </c>
      <c r="M12" s="43">
        <f t="shared" si="4"/>
        <v>0</v>
      </c>
      <c r="N12" s="46">
        <f t="shared" si="3"/>
        <v>1</v>
      </c>
      <c r="O12" s="46">
        <f>ก.พ.63!N12</f>
        <v>1</v>
      </c>
      <c r="P12" s="100">
        <v>8488201.5399999991</v>
      </c>
      <c r="Q12" s="68">
        <v>-2874908.67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1.44</v>
      </c>
      <c r="E13" s="47">
        <v>1.35</v>
      </c>
      <c r="F13" s="47">
        <v>1.18</v>
      </c>
      <c r="G13" s="42">
        <f t="shared" si="0"/>
        <v>1</v>
      </c>
      <c r="H13" s="53">
        <v>13778942.609999999</v>
      </c>
      <c r="I13" s="53">
        <v>9870575.9399999995</v>
      </c>
      <c r="J13" s="47">
        <f t="shared" si="1"/>
        <v>0</v>
      </c>
      <c r="K13" s="51">
        <f t="shared" si="2"/>
        <v>1645095.99</v>
      </c>
      <c r="L13" s="45">
        <f t="shared" si="5"/>
        <v>8.3757681580635293</v>
      </c>
      <c r="M13" s="43">
        <f t="shared" si="4"/>
        <v>0</v>
      </c>
      <c r="N13" s="46">
        <f t="shared" si="3"/>
        <v>1</v>
      </c>
      <c r="O13" s="46">
        <f>ก.พ.63!N13</f>
        <v>1</v>
      </c>
      <c r="P13" s="100">
        <v>11627819.57</v>
      </c>
      <c r="Q13" s="53">
        <v>5708247.5599999996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2.29</v>
      </c>
      <c r="E14" s="57">
        <v>2.1</v>
      </c>
      <c r="F14" s="47">
        <v>1.65</v>
      </c>
      <c r="G14" s="47">
        <f t="shared" si="0"/>
        <v>0</v>
      </c>
      <c r="H14" s="53">
        <v>25444094.219999999</v>
      </c>
      <c r="I14" s="53">
        <v>14964176.67</v>
      </c>
      <c r="J14" s="47">
        <f t="shared" si="1"/>
        <v>0</v>
      </c>
      <c r="K14" s="51">
        <f t="shared" si="2"/>
        <v>2494029.4449999998</v>
      </c>
      <c r="L14" s="45">
        <f t="shared" si="5"/>
        <v>10.202002334419111</v>
      </c>
      <c r="M14" s="43">
        <f t="shared" si="4"/>
        <v>0</v>
      </c>
      <c r="N14" s="46">
        <f t="shared" si="3"/>
        <v>0</v>
      </c>
      <c r="O14" s="46">
        <f>ก.พ.63!N14</f>
        <v>0</v>
      </c>
      <c r="P14" s="100">
        <v>15113970.82</v>
      </c>
      <c r="Q14" s="53">
        <v>12854860.6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2.34</v>
      </c>
      <c r="E15" s="47">
        <v>2.14</v>
      </c>
      <c r="F15" s="47">
        <v>1.71</v>
      </c>
      <c r="G15" s="47">
        <f t="shared" si="0"/>
        <v>0</v>
      </c>
      <c r="H15" s="53">
        <v>23945468.949999999</v>
      </c>
      <c r="I15" s="53">
        <v>14486139.619999999</v>
      </c>
      <c r="J15" s="47">
        <f t="shared" si="1"/>
        <v>0</v>
      </c>
      <c r="K15" s="51">
        <f t="shared" si="2"/>
        <v>2414356.603333333</v>
      </c>
      <c r="L15" s="45">
        <f t="shared" si="5"/>
        <v>9.9179503628172281</v>
      </c>
      <c r="M15" s="43">
        <f t="shared" si="4"/>
        <v>0</v>
      </c>
      <c r="N15" s="46">
        <f t="shared" si="3"/>
        <v>0</v>
      </c>
      <c r="O15" s="46">
        <f>ก.พ.63!N15</f>
        <v>0</v>
      </c>
      <c r="P15" s="100">
        <v>15838008.32</v>
      </c>
      <c r="Q15" s="53">
        <v>12556768.67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3.67</v>
      </c>
      <c r="E16" s="47">
        <v>2.89</v>
      </c>
      <c r="F16" s="47">
        <v>2.5499999999999998</v>
      </c>
      <c r="G16" s="47">
        <f t="shared" si="0"/>
        <v>0</v>
      </c>
      <c r="H16" s="53">
        <v>72732464.510000005</v>
      </c>
      <c r="I16" s="53">
        <v>33370293.23</v>
      </c>
      <c r="J16" s="47">
        <f t="shared" si="1"/>
        <v>0</v>
      </c>
      <c r="K16" s="51">
        <f t="shared" si="2"/>
        <v>5561715.5383333331</v>
      </c>
      <c r="L16" s="45">
        <f t="shared" si="5"/>
        <v>13.077343493873759</v>
      </c>
      <c r="M16" s="43">
        <f t="shared" si="4"/>
        <v>0</v>
      </c>
      <c r="N16" s="46">
        <f t="shared" si="3"/>
        <v>0</v>
      </c>
      <c r="O16" s="46">
        <f>ก.พ.63!N16</f>
        <v>0</v>
      </c>
      <c r="P16" s="100">
        <v>26190646.780000001</v>
      </c>
      <c r="Q16" s="53">
        <v>42150716.219999999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2.1800000000000002</v>
      </c>
      <c r="E17" s="47">
        <v>1.94</v>
      </c>
      <c r="F17" s="47">
        <v>1.76</v>
      </c>
      <c r="G17" s="47">
        <f t="shared" si="0"/>
        <v>0</v>
      </c>
      <c r="H17" s="53">
        <v>8665522.9399999995</v>
      </c>
      <c r="I17" s="53">
        <v>5608140</v>
      </c>
      <c r="J17" s="47">
        <f t="shared" si="1"/>
        <v>0</v>
      </c>
      <c r="K17" s="51">
        <f t="shared" si="2"/>
        <v>934690</v>
      </c>
      <c r="L17" s="45">
        <f t="shared" si="5"/>
        <v>9.2710127849875352</v>
      </c>
      <c r="M17" s="43">
        <f t="shared" si="4"/>
        <v>0</v>
      </c>
      <c r="N17" s="46">
        <f t="shared" si="3"/>
        <v>0</v>
      </c>
      <c r="O17" s="46">
        <f>ก.พ.63!N17</f>
        <v>0</v>
      </c>
      <c r="P17" s="100">
        <v>6320918.6799999997</v>
      </c>
      <c r="Q17" s="53">
        <v>5558696.04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1.47</v>
      </c>
      <c r="E18" s="47">
        <v>1.3</v>
      </c>
      <c r="F18" s="47">
        <v>0.95</v>
      </c>
      <c r="G18" s="42">
        <f t="shared" si="0"/>
        <v>1</v>
      </c>
      <c r="H18" s="53">
        <v>10990826.199999999</v>
      </c>
      <c r="I18" s="53">
        <v>7598133.5499999998</v>
      </c>
      <c r="J18" s="47">
        <f t="shared" si="1"/>
        <v>0</v>
      </c>
      <c r="K18" s="51">
        <f t="shared" si="2"/>
        <v>1266355.5916666666</v>
      </c>
      <c r="L18" s="45">
        <f t="shared" si="5"/>
        <v>8.679099513853636</v>
      </c>
      <c r="M18" s="43">
        <f t="shared" si="4"/>
        <v>0</v>
      </c>
      <c r="N18" s="46">
        <f t="shared" si="3"/>
        <v>1</v>
      </c>
      <c r="O18" s="46">
        <f>ก.พ.63!N18</f>
        <v>1</v>
      </c>
      <c r="P18" s="100">
        <v>9981265.6899999995</v>
      </c>
      <c r="Q18" s="68">
        <v>-1065400.1200000001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1.25</v>
      </c>
      <c r="F19" s="42">
        <v>0.78</v>
      </c>
      <c r="G19" s="42">
        <f t="shared" si="0"/>
        <v>2</v>
      </c>
      <c r="H19" s="53">
        <v>5154062.82</v>
      </c>
      <c r="I19" s="53">
        <v>9564163.7799999993</v>
      </c>
      <c r="J19" s="47">
        <f t="shared" si="1"/>
        <v>0</v>
      </c>
      <c r="K19" s="51">
        <f t="shared" si="2"/>
        <v>1594027.2966666666</v>
      </c>
      <c r="L19" s="45">
        <f t="shared" si="5"/>
        <v>3.2333591970337423</v>
      </c>
      <c r="M19" s="43">
        <f t="shared" si="4"/>
        <v>0</v>
      </c>
      <c r="N19" s="46">
        <f t="shared" si="3"/>
        <v>2</v>
      </c>
      <c r="O19" s="46">
        <f>ก.พ.63!N19</f>
        <v>2</v>
      </c>
      <c r="P19" s="100">
        <v>10999344.16</v>
      </c>
      <c r="Q19" s="68">
        <v>-3065093.54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1.9</v>
      </c>
      <c r="E20" s="47">
        <v>1.76</v>
      </c>
      <c r="F20" s="47">
        <v>1.42</v>
      </c>
      <c r="G20" s="47">
        <f t="shared" si="0"/>
        <v>0</v>
      </c>
      <c r="H20" s="53">
        <v>7432761.3300000001</v>
      </c>
      <c r="I20" s="53">
        <v>2124345.83</v>
      </c>
      <c r="J20" s="47">
        <f t="shared" si="1"/>
        <v>0</v>
      </c>
      <c r="K20" s="44">
        <f t="shared" si="2"/>
        <v>354057.63833333337</v>
      </c>
      <c r="L20" s="45">
        <f t="shared" si="5"/>
        <v>20.993082835293347</v>
      </c>
      <c r="M20" s="43">
        <f t="shared" si="4"/>
        <v>0</v>
      </c>
      <c r="N20" s="46">
        <f t="shared" si="3"/>
        <v>0</v>
      </c>
      <c r="O20" s="46">
        <f>ก.พ.63!N20</f>
        <v>0</v>
      </c>
      <c r="P20" s="100">
        <v>3210563.34</v>
      </c>
      <c r="Q20" s="53">
        <v>3513628.89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72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9" t="s">
        <v>53</v>
      </c>
      <c r="Q1" s="41">
        <v>43969</v>
      </c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73</v>
      </c>
      <c r="O2" s="154" t="s">
        <v>77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3.43</v>
      </c>
      <c r="E5" s="47">
        <v>3.16</v>
      </c>
      <c r="F5" s="47">
        <v>1.1299999999999999</v>
      </c>
      <c r="G5" s="47">
        <f t="shared" ref="G5:G20" si="0">(IF(D5&lt;1.5,1,0))+(IF(E5&lt;1,1,0))+(IF(F5&lt;0.8,1,0))</f>
        <v>0</v>
      </c>
      <c r="H5" s="53">
        <v>510801783.24000001</v>
      </c>
      <c r="I5" s="53">
        <v>37938863.329999998</v>
      </c>
      <c r="J5" s="47">
        <f t="shared" ref="J5:J20" si="1">IF(I5&lt;0,1,0)+IF(H5&lt;0,1,0)</f>
        <v>0</v>
      </c>
      <c r="K5" s="51">
        <f>SUM(I5/7)</f>
        <v>5419837.6185714286</v>
      </c>
      <c r="L5" s="45">
        <f>+H5/K5</f>
        <v>94.246695046675242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มี.ค.63!N5</f>
        <v>0</v>
      </c>
      <c r="P5" s="100">
        <v>80881405.939999998</v>
      </c>
      <c r="Q5" s="53">
        <v>27071465.559999999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0.81</v>
      </c>
      <c r="E6" s="42">
        <v>0.75</v>
      </c>
      <c r="F6" s="42">
        <v>0.52</v>
      </c>
      <c r="G6" s="55">
        <f t="shared" si="0"/>
        <v>3</v>
      </c>
      <c r="H6" s="68">
        <v>-31620131.649999999</v>
      </c>
      <c r="I6" s="53">
        <v>12629881.439999999</v>
      </c>
      <c r="J6" s="55">
        <f>IF(I6&lt;0,1,0)+IF(H6&lt;0,1,0)</f>
        <v>1</v>
      </c>
      <c r="K6" s="51">
        <f>SUM(I6/7)</f>
        <v>1804268.777142857</v>
      </c>
      <c r="L6" s="45">
        <f>+H6/K6</f>
        <v>-17.52517809462509</v>
      </c>
      <c r="M6" s="42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2</v>
      </c>
      <c r="N6" s="46">
        <f>SUM(G6+J6+M6)</f>
        <v>6</v>
      </c>
      <c r="O6" s="46">
        <f>มี.ค.63!N6</f>
        <v>6</v>
      </c>
      <c r="P6" s="100">
        <v>32531647.34</v>
      </c>
      <c r="Q6" s="68">
        <v>-81430503.629999995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1.29</v>
      </c>
      <c r="E7" s="47">
        <v>1.1299999999999999</v>
      </c>
      <c r="F7" s="47">
        <v>0.88</v>
      </c>
      <c r="G7" s="42">
        <f t="shared" si="0"/>
        <v>1</v>
      </c>
      <c r="H7" s="53">
        <v>8749452.7100000009</v>
      </c>
      <c r="I7" s="53">
        <v>6535929.0499999998</v>
      </c>
      <c r="J7" s="47">
        <f t="shared" si="1"/>
        <v>0</v>
      </c>
      <c r="K7" s="51">
        <f>SUM(I7/7)</f>
        <v>933704.15</v>
      </c>
      <c r="L7" s="45">
        <f t="shared" ref="L7:L20" si="4">+H7/K7</f>
        <v>9.3706906090114312</v>
      </c>
      <c r="M7" s="43">
        <f t="shared" si="3"/>
        <v>0</v>
      </c>
      <c r="N7" s="46">
        <f t="shared" si="2"/>
        <v>1</v>
      </c>
      <c r="O7" s="46">
        <f>มี.ค.63!N7</f>
        <v>1</v>
      </c>
      <c r="P7" s="100">
        <v>7103227.8799999999</v>
      </c>
      <c r="Q7" s="68">
        <v>-3684005.82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1.92</v>
      </c>
      <c r="E8" s="47">
        <v>1.68</v>
      </c>
      <c r="F8" s="47">
        <v>1.35</v>
      </c>
      <c r="G8" s="66">
        <f t="shared" si="0"/>
        <v>0</v>
      </c>
      <c r="H8" s="53">
        <v>13394407.77</v>
      </c>
      <c r="I8" s="68">
        <v>-959326.13</v>
      </c>
      <c r="J8" s="55">
        <f t="shared" si="1"/>
        <v>1</v>
      </c>
      <c r="K8" s="59">
        <f t="shared" ref="K8:K19" si="5">SUM(I8/7)</f>
        <v>-137046.59</v>
      </c>
      <c r="L8" s="45">
        <f t="shared" si="4"/>
        <v>-97.736162351795841</v>
      </c>
      <c r="M8" s="43">
        <f t="shared" si="3"/>
        <v>0</v>
      </c>
      <c r="N8" s="46">
        <f t="shared" si="2"/>
        <v>1</v>
      </c>
      <c r="O8" s="46">
        <f>มี.ค.63!N8</f>
        <v>0</v>
      </c>
      <c r="P8" s="100">
        <v>4969031.67</v>
      </c>
      <c r="Q8" s="53">
        <v>5064716.1100000003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1.69</v>
      </c>
      <c r="E9" s="47">
        <v>1.47</v>
      </c>
      <c r="F9" s="47">
        <v>1.32</v>
      </c>
      <c r="G9" s="47">
        <f t="shared" si="0"/>
        <v>0</v>
      </c>
      <c r="H9" s="53">
        <v>14339844.26</v>
      </c>
      <c r="I9" s="53">
        <v>6580530.6799999997</v>
      </c>
      <c r="J9" s="47">
        <f t="shared" si="1"/>
        <v>0</v>
      </c>
      <c r="K9" s="51">
        <f t="shared" si="5"/>
        <v>940075.81142857135</v>
      </c>
      <c r="L9" s="45">
        <f t="shared" si="4"/>
        <v>15.253923232221753</v>
      </c>
      <c r="M9" s="43">
        <f t="shared" si="3"/>
        <v>0</v>
      </c>
      <c r="N9" s="46">
        <f t="shared" si="2"/>
        <v>0</v>
      </c>
      <c r="O9" s="46">
        <f>มี.ค.63!N9</f>
        <v>0</v>
      </c>
      <c r="P9" s="100">
        <v>9598540.8499999996</v>
      </c>
      <c r="Q9" s="53">
        <v>6613496.7599999998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1.36</v>
      </c>
      <c r="E10" s="47">
        <v>1.28</v>
      </c>
      <c r="F10" s="47">
        <v>1.0900000000000001</v>
      </c>
      <c r="G10" s="42">
        <f t="shared" si="0"/>
        <v>1</v>
      </c>
      <c r="H10" s="53">
        <v>7276637.4400000004</v>
      </c>
      <c r="I10" s="53">
        <v>3810033.97</v>
      </c>
      <c r="J10" s="47">
        <f t="shared" si="1"/>
        <v>0</v>
      </c>
      <c r="K10" s="51">
        <f t="shared" si="5"/>
        <v>544290.56714285712</v>
      </c>
      <c r="L10" s="45">
        <f t="shared" si="4"/>
        <v>13.369030953810631</v>
      </c>
      <c r="M10" s="43">
        <f t="shared" si="3"/>
        <v>0</v>
      </c>
      <c r="N10" s="46">
        <f t="shared" si="2"/>
        <v>1</v>
      </c>
      <c r="O10" s="46">
        <f>มี.ค.63!N10</f>
        <v>1</v>
      </c>
      <c r="P10" s="100">
        <v>4709407.2300000004</v>
      </c>
      <c r="Q10" s="53">
        <v>1826033.18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1.37</v>
      </c>
      <c r="E11" s="57">
        <v>1.2</v>
      </c>
      <c r="F11" s="47">
        <v>0.89</v>
      </c>
      <c r="G11" s="42">
        <f t="shared" si="0"/>
        <v>1</v>
      </c>
      <c r="H11" s="53">
        <v>20960279.66</v>
      </c>
      <c r="I11" s="53">
        <v>18550759.350000001</v>
      </c>
      <c r="J11" s="47">
        <f t="shared" si="1"/>
        <v>0</v>
      </c>
      <c r="K11" s="51">
        <f t="shared" si="5"/>
        <v>2650108.4785714289</v>
      </c>
      <c r="L11" s="45">
        <f t="shared" si="4"/>
        <v>7.9092157281421462</v>
      </c>
      <c r="M11" s="43">
        <f t="shared" si="3"/>
        <v>0</v>
      </c>
      <c r="N11" s="46">
        <f t="shared" si="2"/>
        <v>1</v>
      </c>
      <c r="O11" s="46">
        <f>มี.ค.63!N11</f>
        <v>0</v>
      </c>
      <c r="P11" s="100">
        <v>18047919.510000002</v>
      </c>
      <c r="Q11" s="68">
        <v>-6674069.0700000003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1.38</v>
      </c>
      <c r="E12" s="47">
        <v>1.21</v>
      </c>
      <c r="F12" s="47">
        <v>0.92</v>
      </c>
      <c r="G12" s="42">
        <f t="shared" si="0"/>
        <v>1</v>
      </c>
      <c r="H12" s="53">
        <v>12608819.039999999</v>
      </c>
      <c r="I12" s="53">
        <v>8533396.1600000001</v>
      </c>
      <c r="J12" s="47">
        <f t="shared" si="1"/>
        <v>0</v>
      </c>
      <c r="K12" s="51">
        <f t="shared" si="5"/>
        <v>1219056.5942857142</v>
      </c>
      <c r="L12" s="45">
        <f t="shared" si="4"/>
        <v>10.343095717707778</v>
      </c>
      <c r="M12" s="43">
        <f t="shared" si="3"/>
        <v>0</v>
      </c>
      <c r="N12" s="46">
        <f t="shared" si="2"/>
        <v>1</v>
      </c>
      <c r="O12" s="46">
        <f>มี.ค.63!N12</f>
        <v>1</v>
      </c>
      <c r="P12" s="100">
        <v>8570306.1099999994</v>
      </c>
      <c r="Q12" s="68">
        <v>-2562794.7799999998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1.41</v>
      </c>
      <c r="E13" s="47">
        <v>1.31</v>
      </c>
      <c r="F13" s="47">
        <v>1.1499999999999999</v>
      </c>
      <c r="G13" s="42">
        <f t="shared" si="0"/>
        <v>1</v>
      </c>
      <c r="H13" s="53">
        <v>12496354.720000001</v>
      </c>
      <c r="I13" s="53">
        <v>8198526.3700000001</v>
      </c>
      <c r="J13" s="47">
        <f t="shared" si="1"/>
        <v>0</v>
      </c>
      <c r="K13" s="51">
        <f t="shared" si="5"/>
        <v>1171218.0528571429</v>
      </c>
      <c r="L13" s="45">
        <f t="shared" si="4"/>
        <v>10.669537315887172</v>
      </c>
      <c r="M13" s="43">
        <f t="shared" si="3"/>
        <v>0</v>
      </c>
      <c r="N13" s="46">
        <f t="shared" si="2"/>
        <v>1</v>
      </c>
      <c r="O13" s="46">
        <f>มี.ค.63!N13</f>
        <v>1</v>
      </c>
      <c r="P13" s="100">
        <v>10457563.220000001</v>
      </c>
      <c r="Q13" s="53">
        <v>4671370.0599999996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2.15</v>
      </c>
      <c r="E14" s="47">
        <v>1.93</v>
      </c>
      <c r="F14" s="47">
        <v>1.47</v>
      </c>
      <c r="G14" s="47">
        <f t="shared" si="0"/>
        <v>0</v>
      </c>
      <c r="H14" s="53">
        <v>23443057.52</v>
      </c>
      <c r="I14" s="67">
        <v>14016249.58</v>
      </c>
      <c r="J14" s="47">
        <f t="shared" si="1"/>
        <v>0</v>
      </c>
      <c r="K14" s="51">
        <f t="shared" si="5"/>
        <v>2002321.3685714286</v>
      </c>
      <c r="L14" s="45">
        <f t="shared" si="4"/>
        <v>11.707939538559501</v>
      </c>
      <c r="M14" s="43">
        <f t="shared" si="3"/>
        <v>0</v>
      </c>
      <c r="N14" s="46">
        <f t="shared" si="2"/>
        <v>0</v>
      </c>
      <c r="O14" s="46">
        <f>มี.ค.63!N14</f>
        <v>0</v>
      </c>
      <c r="P14" s="100">
        <v>14386029.050000001</v>
      </c>
      <c r="Q14" s="53">
        <v>9479328.0899999999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2.2000000000000002</v>
      </c>
      <c r="E15" s="47">
        <v>1.94</v>
      </c>
      <c r="F15" s="47">
        <v>1.63</v>
      </c>
      <c r="G15" s="47">
        <f t="shared" si="0"/>
        <v>0</v>
      </c>
      <c r="H15" s="53">
        <v>20180822.559999999</v>
      </c>
      <c r="I15" s="53">
        <v>17257196.050000001</v>
      </c>
      <c r="J15" s="47">
        <f t="shared" si="1"/>
        <v>0</v>
      </c>
      <c r="K15" s="51">
        <f t="shared" si="5"/>
        <v>2465313.7214285717</v>
      </c>
      <c r="L15" s="45">
        <f t="shared" si="4"/>
        <v>8.1859044488284631</v>
      </c>
      <c r="M15" s="43">
        <f t="shared" si="3"/>
        <v>0</v>
      </c>
      <c r="N15" s="46">
        <f t="shared" si="2"/>
        <v>0</v>
      </c>
      <c r="O15" s="46">
        <f>มี.ค.63!N15</f>
        <v>0</v>
      </c>
      <c r="P15" s="100">
        <v>12488639.66</v>
      </c>
      <c r="Q15" s="53">
        <v>10545405.91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3.65</v>
      </c>
      <c r="E16" s="47">
        <v>2.83</v>
      </c>
      <c r="F16" s="57">
        <v>2.5</v>
      </c>
      <c r="G16" s="47">
        <f t="shared" si="0"/>
        <v>0</v>
      </c>
      <c r="H16" s="53">
        <v>69268752.450000003</v>
      </c>
      <c r="I16" s="53">
        <v>29024019.48</v>
      </c>
      <c r="J16" s="47">
        <f t="shared" si="1"/>
        <v>0</v>
      </c>
      <c r="K16" s="51">
        <f t="shared" si="5"/>
        <v>4146288.4971428574</v>
      </c>
      <c r="L16" s="45">
        <f t="shared" si="4"/>
        <v>16.706206646674975</v>
      </c>
      <c r="M16" s="43">
        <f t="shared" si="3"/>
        <v>0</v>
      </c>
      <c r="N16" s="46">
        <f t="shared" si="2"/>
        <v>0</v>
      </c>
      <c r="O16" s="46">
        <f>มี.ค.63!N16</f>
        <v>0</v>
      </c>
      <c r="P16" s="100">
        <v>23155288.18</v>
      </c>
      <c r="Q16" s="53">
        <v>39241375.659999996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2.1</v>
      </c>
      <c r="E17" s="47">
        <v>1.87</v>
      </c>
      <c r="F17" s="57">
        <v>1.7</v>
      </c>
      <c r="G17" s="47">
        <f t="shared" si="0"/>
        <v>0</v>
      </c>
      <c r="H17" s="53">
        <v>7441328.6100000003</v>
      </c>
      <c r="I17" s="53">
        <v>4267063.41</v>
      </c>
      <c r="J17" s="47">
        <f t="shared" si="1"/>
        <v>0</v>
      </c>
      <c r="K17" s="51">
        <f t="shared" si="5"/>
        <v>609580.48714285716</v>
      </c>
      <c r="L17" s="45">
        <f t="shared" si="4"/>
        <v>12.207294634508372</v>
      </c>
      <c r="M17" s="43">
        <f t="shared" si="3"/>
        <v>0</v>
      </c>
      <c r="N17" s="46">
        <f t="shared" si="2"/>
        <v>0</v>
      </c>
      <c r="O17" s="46">
        <f>มี.ค.63!N17</f>
        <v>0</v>
      </c>
      <c r="P17" s="100">
        <v>5213316.9400000004</v>
      </c>
      <c r="Q17" s="53">
        <v>4709910.8499999996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1.43</v>
      </c>
      <c r="E18" s="47">
        <v>1.23</v>
      </c>
      <c r="F18" s="47">
        <v>0.92</v>
      </c>
      <c r="G18" s="42">
        <f t="shared" si="0"/>
        <v>1</v>
      </c>
      <c r="H18" s="53">
        <v>10074197.49</v>
      </c>
      <c r="I18" s="53">
        <v>4821478.58</v>
      </c>
      <c r="J18" s="47">
        <f t="shared" si="1"/>
        <v>0</v>
      </c>
      <c r="K18" s="51">
        <f t="shared" si="5"/>
        <v>688782.65428571426</v>
      </c>
      <c r="L18" s="45">
        <f t="shared" si="4"/>
        <v>14.626090577799477</v>
      </c>
      <c r="M18" s="43">
        <f t="shared" si="3"/>
        <v>0</v>
      </c>
      <c r="N18" s="46">
        <f t="shared" si="2"/>
        <v>1</v>
      </c>
      <c r="O18" s="46">
        <f>มี.ค.63!N18</f>
        <v>1</v>
      </c>
      <c r="P18" s="100">
        <v>9003668.0800000001</v>
      </c>
      <c r="Q18" s="68">
        <v>-1922258.86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1.45</v>
      </c>
      <c r="E19" s="47">
        <v>1.32</v>
      </c>
      <c r="F19" s="57">
        <v>0.9</v>
      </c>
      <c r="G19" s="42">
        <f t="shared" si="0"/>
        <v>1</v>
      </c>
      <c r="H19" s="53">
        <v>6850204.2800000003</v>
      </c>
      <c r="I19" s="53">
        <v>11961953.67</v>
      </c>
      <c r="J19" s="47">
        <f t="shared" si="1"/>
        <v>0</v>
      </c>
      <c r="K19" s="51">
        <f t="shared" si="5"/>
        <v>1708850.5242857144</v>
      </c>
      <c r="L19" s="45">
        <f t="shared" si="4"/>
        <v>4.0086620699978015</v>
      </c>
      <c r="M19" s="43">
        <f t="shared" si="3"/>
        <v>0</v>
      </c>
      <c r="N19" s="46">
        <f t="shared" si="2"/>
        <v>1</v>
      </c>
      <c r="O19" s="46">
        <f>มี.ค.63!N19</f>
        <v>2</v>
      </c>
      <c r="P19" s="100">
        <v>13775544.34</v>
      </c>
      <c r="Q19" s="68">
        <v>-1478858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1.58</v>
      </c>
      <c r="E20" s="47">
        <v>1.37</v>
      </c>
      <c r="F20" s="47">
        <v>1.0900000000000001</v>
      </c>
      <c r="G20" s="47">
        <f t="shared" si="0"/>
        <v>0</v>
      </c>
      <c r="H20" s="53">
        <v>5590344.75</v>
      </c>
      <c r="I20" s="68">
        <v>-41537.599999999999</v>
      </c>
      <c r="J20" s="42">
        <f t="shared" si="1"/>
        <v>1</v>
      </c>
      <c r="K20" s="59">
        <f>SUM(I20/7)</f>
        <v>-5933.9428571428571</v>
      </c>
      <c r="L20" s="45">
        <f t="shared" si="4"/>
        <v>-942.09615504988255</v>
      </c>
      <c r="M20" s="43">
        <f t="shared" si="3"/>
        <v>0</v>
      </c>
      <c r="N20" s="46">
        <f t="shared" si="2"/>
        <v>1</v>
      </c>
      <c r="O20" s="46">
        <f>มี.ค.63!N20</f>
        <v>0</v>
      </c>
      <c r="P20" s="100">
        <v>1355926.98</v>
      </c>
      <c r="Q20" s="53">
        <v>846541.59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74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9" t="s">
        <v>53</v>
      </c>
      <c r="Q1" s="92">
        <v>242325</v>
      </c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75</v>
      </c>
      <c r="O2" s="154" t="s">
        <v>76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3.26</v>
      </c>
      <c r="E5" s="57">
        <v>3</v>
      </c>
      <c r="F5" s="57">
        <v>0.98</v>
      </c>
      <c r="G5" s="47">
        <f t="shared" ref="G5:G20" si="0">(IF(D5&lt;1.5,1,0))+(IF(E5&lt;1,1,0))+(IF(F5&lt;0.8,1,0))</f>
        <v>0</v>
      </c>
      <c r="H5" s="53">
        <v>502758700.19999999</v>
      </c>
      <c r="I5" s="53">
        <v>26738157.91</v>
      </c>
      <c r="J5" s="47">
        <f t="shared" ref="J5:J20" si="1">IF(I5&lt;0,1,0)+IF(H5&lt;0,1,0)</f>
        <v>0</v>
      </c>
      <c r="K5" s="51">
        <f>SUM(I5/8)</f>
        <v>3342269.73875</v>
      </c>
      <c r="L5" s="45">
        <f>+H5/K5</f>
        <v>150.42433420949155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เม.ย.63!N5</f>
        <v>0</v>
      </c>
      <c r="P5" s="100">
        <v>72895594.569999993</v>
      </c>
      <c r="Q5" s="68">
        <v>-3286571.86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57">
        <v>0.7</v>
      </c>
      <c r="F6" s="57">
        <v>0.49</v>
      </c>
      <c r="G6" s="55">
        <f t="shared" si="0"/>
        <v>3</v>
      </c>
      <c r="H6" s="68">
        <v>-39762715.520000003</v>
      </c>
      <c r="I6" s="53">
        <v>4010002.46</v>
      </c>
      <c r="J6" s="55">
        <f>IF(I6&lt;0,1,0)+IF(H6&lt;0,1,0)</f>
        <v>1</v>
      </c>
      <c r="K6" s="51">
        <f t="shared" ref="K6:K20" si="3">SUM(I6/8)</f>
        <v>501250.3075</v>
      </c>
      <c r="L6" s="45">
        <f>+H6/K6</f>
        <v>-79.327064592374342</v>
      </c>
      <c r="M6" s="42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2</v>
      </c>
      <c r="N6" s="46">
        <f>SUM(G6+J6+M6)</f>
        <v>6</v>
      </c>
      <c r="O6" s="46">
        <f>เม.ย.63!N6</f>
        <v>6</v>
      </c>
      <c r="P6" s="100">
        <v>28177355.100000001</v>
      </c>
      <c r="Q6" s="68">
        <v>-86160765.620000005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</v>
      </c>
      <c r="E7" s="57">
        <v>1.01</v>
      </c>
      <c r="F7" s="57">
        <v>0.78</v>
      </c>
      <c r="G7" s="42">
        <f t="shared" si="0"/>
        <v>2</v>
      </c>
      <c r="H7" s="53">
        <v>6328068.5700000003</v>
      </c>
      <c r="I7" s="53">
        <v>4222277.0199999996</v>
      </c>
      <c r="J7" s="47">
        <f t="shared" si="1"/>
        <v>0</v>
      </c>
      <c r="K7" s="51">
        <f t="shared" si="3"/>
        <v>527784.62749999994</v>
      </c>
      <c r="L7" s="45">
        <f t="shared" ref="L7:L20" si="5">+H7/K7</f>
        <v>11.989869049378482</v>
      </c>
      <c r="M7" s="43">
        <f t="shared" si="4"/>
        <v>0</v>
      </c>
      <c r="N7" s="46">
        <f t="shared" si="2"/>
        <v>2</v>
      </c>
      <c r="O7" s="46">
        <f>เม.ย.63!N7</f>
        <v>1</v>
      </c>
      <c r="P7" s="100">
        <v>5066618.54</v>
      </c>
      <c r="Q7" s="68">
        <v>-6866324.2800000003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1.8</v>
      </c>
      <c r="E8" s="57">
        <v>1.56</v>
      </c>
      <c r="F8" s="57">
        <v>1.25</v>
      </c>
      <c r="G8" s="66">
        <f t="shared" si="0"/>
        <v>0</v>
      </c>
      <c r="H8" s="53">
        <v>12003439.18</v>
      </c>
      <c r="I8" s="68">
        <v>-3081482.32</v>
      </c>
      <c r="J8" s="55">
        <f t="shared" si="1"/>
        <v>1</v>
      </c>
      <c r="K8" s="59">
        <f t="shared" si="3"/>
        <v>-385185.29</v>
      </c>
      <c r="L8" s="45">
        <f t="shared" si="5"/>
        <v>-31.162766314362628</v>
      </c>
      <c r="M8" s="43">
        <f t="shared" si="4"/>
        <v>0</v>
      </c>
      <c r="N8" s="46">
        <f t="shared" si="2"/>
        <v>1</v>
      </c>
      <c r="O8" s="46">
        <f>เม.ย.63!N8</f>
        <v>1</v>
      </c>
      <c r="P8" s="100">
        <v>3859127.38</v>
      </c>
      <c r="Q8" s="53">
        <v>3650077.01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1.62</v>
      </c>
      <c r="E9" s="57">
        <v>1.38</v>
      </c>
      <c r="F9" s="57">
        <v>1.24</v>
      </c>
      <c r="G9" s="47">
        <f t="shared" si="0"/>
        <v>0</v>
      </c>
      <c r="H9" s="53">
        <v>12713446.32</v>
      </c>
      <c r="I9" s="53">
        <v>4133638.43</v>
      </c>
      <c r="J9" s="47">
        <f t="shared" si="1"/>
        <v>0</v>
      </c>
      <c r="K9" s="51">
        <f t="shared" si="3"/>
        <v>516704.80375000002</v>
      </c>
      <c r="L9" s="45">
        <f t="shared" si="5"/>
        <v>24.604854121215435</v>
      </c>
      <c r="M9" s="43">
        <f t="shared" si="4"/>
        <v>0</v>
      </c>
      <c r="N9" s="46">
        <f t="shared" si="2"/>
        <v>0</v>
      </c>
      <c r="O9" s="46">
        <f>เม.ย.63!N9</f>
        <v>0</v>
      </c>
      <c r="P9" s="100">
        <v>7582792.9100000001</v>
      </c>
      <c r="Q9" s="53">
        <v>4924277.49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57">
        <v>1.32</v>
      </c>
      <c r="E10" s="57">
        <v>1.23</v>
      </c>
      <c r="F10" s="57">
        <v>1.02</v>
      </c>
      <c r="G10" s="42">
        <f t="shared" si="0"/>
        <v>1</v>
      </c>
      <c r="H10" s="53">
        <v>6616955.7800000003</v>
      </c>
      <c r="I10" s="53">
        <v>2869333.21</v>
      </c>
      <c r="J10" s="47">
        <f t="shared" si="1"/>
        <v>0</v>
      </c>
      <c r="K10" s="51">
        <f t="shared" si="3"/>
        <v>358666.65125</v>
      </c>
      <c r="L10" s="45">
        <f t="shared" si="5"/>
        <v>18.448762261389643</v>
      </c>
      <c r="M10" s="43">
        <f t="shared" si="4"/>
        <v>0</v>
      </c>
      <c r="N10" s="46">
        <f t="shared" si="2"/>
        <v>1</v>
      </c>
      <c r="O10" s="46">
        <f>เม.ย.63!N10</f>
        <v>1</v>
      </c>
      <c r="P10" s="100">
        <v>4018131.83</v>
      </c>
      <c r="Q10" s="53">
        <v>435750.39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57">
        <v>1.28</v>
      </c>
      <c r="E11" s="57">
        <v>1.1399999999999999</v>
      </c>
      <c r="F11" s="57">
        <v>0.82</v>
      </c>
      <c r="G11" s="42">
        <f t="shared" si="0"/>
        <v>1</v>
      </c>
      <c r="H11" s="53">
        <v>17240368.809999999</v>
      </c>
      <c r="I11" s="53">
        <v>24767435.530000001</v>
      </c>
      <c r="J11" s="47">
        <f t="shared" si="1"/>
        <v>0</v>
      </c>
      <c r="K11" s="51">
        <f t="shared" si="3"/>
        <v>3095929.4412500001</v>
      </c>
      <c r="L11" s="45">
        <f t="shared" si="5"/>
        <v>5.5687214896729351</v>
      </c>
      <c r="M11" s="43">
        <f t="shared" si="4"/>
        <v>0</v>
      </c>
      <c r="N11" s="46">
        <f t="shared" si="2"/>
        <v>1</v>
      </c>
      <c r="O11" s="46">
        <f>เม.ย.63!N11</f>
        <v>1</v>
      </c>
      <c r="P11" s="100">
        <v>24469813.59</v>
      </c>
      <c r="Q11" s="68">
        <v>-11373826.75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57">
        <v>1.32</v>
      </c>
      <c r="E12" s="57">
        <v>1.1499999999999999</v>
      </c>
      <c r="F12" s="57">
        <v>0.89</v>
      </c>
      <c r="G12" s="42">
        <f t="shared" si="0"/>
        <v>1</v>
      </c>
      <c r="H12" s="53">
        <v>10825317.84</v>
      </c>
      <c r="I12" s="53">
        <v>6471321.2300000004</v>
      </c>
      <c r="J12" s="47">
        <f t="shared" si="1"/>
        <v>0</v>
      </c>
      <c r="K12" s="51">
        <f t="shared" si="3"/>
        <v>808915.15375000006</v>
      </c>
      <c r="L12" s="45">
        <f t="shared" si="5"/>
        <v>13.382513344960314</v>
      </c>
      <c r="M12" s="43">
        <f t="shared" si="4"/>
        <v>0</v>
      </c>
      <c r="N12" s="46">
        <f t="shared" si="2"/>
        <v>1</v>
      </c>
      <c r="O12" s="46">
        <f>เม.ย.63!N12</f>
        <v>1</v>
      </c>
      <c r="P12" s="100">
        <v>6733461.21</v>
      </c>
      <c r="Q12" s="68">
        <v>-3571868.27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57">
        <v>1.33</v>
      </c>
      <c r="E13" s="57">
        <v>1.22</v>
      </c>
      <c r="F13" s="57">
        <v>1.0900000000000001</v>
      </c>
      <c r="G13" s="42">
        <f t="shared" si="0"/>
        <v>1</v>
      </c>
      <c r="H13" s="53">
        <v>9839595.5800000001</v>
      </c>
      <c r="I13" s="53">
        <v>4986266.99</v>
      </c>
      <c r="J13" s="47">
        <f t="shared" si="1"/>
        <v>0</v>
      </c>
      <c r="K13" s="51">
        <f t="shared" si="3"/>
        <v>623283.37375000003</v>
      </c>
      <c r="L13" s="45">
        <f t="shared" si="5"/>
        <v>15.786712744798288</v>
      </c>
      <c r="M13" s="43">
        <f t="shared" si="4"/>
        <v>0</v>
      </c>
      <c r="N13" s="46">
        <f t="shared" si="2"/>
        <v>1</v>
      </c>
      <c r="O13" s="46">
        <f>เม.ย.63!N13</f>
        <v>1</v>
      </c>
      <c r="P13" s="100">
        <v>7728327.0800000001</v>
      </c>
      <c r="Q13" s="53">
        <v>2585480.2000000002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2.04</v>
      </c>
      <c r="E14" s="57">
        <v>1.82</v>
      </c>
      <c r="F14" s="57">
        <v>1.44</v>
      </c>
      <c r="G14" s="47">
        <f t="shared" si="0"/>
        <v>0</v>
      </c>
      <c r="H14" s="53">
        <v>21220005.02</v>
      </c>
      <c r="I14" s="53">
        <v>11729565.75</v>
      </c>
      <c r="J14" s="47">
        <f t="shared" si="1"/>
        <v>0</v>
      </c>
      <c r="K14" s="51">
        <f t="shared" si="3"/>
        <v>1466195.71875</v>
      </c>
      <c r="L14" s="45">
        <f t="shared" si="5"/>
        <v>14.472832479753139</v>
      </c>
      <c r="M14" s="43">
        <f t="shared" si="4"/>
        <v>0</v>
      </c>
      <c r="N14" s="46">
        <f t="shared" si="2"/>
        <v>0</v>
      </c>
      <c r="O14" s="46">
        <f>เม.ย.63!N14</f>
        <v>0</v>
      </c>
      <c r="P14" s="100">
        <v>12319330.539999999</v>
      </c>
      <c r="Q14" s="53">
        <v>8906487.2899999991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2.0299999999999998</v>
      </c>
      <c r="E15" s="57">
        <v>1.74</v>
      </c>
      <c r="F15" s="57">
        <v>1.46</v>
      </c>
      <c r="G15" s="47">
        <f t="shared" si="0"/>
        <v>0</v>
      </c>
      <c r="H15" s="53">
        <v>18243083.489999998</v>
      </c>
      <c r="I15" s="53">
        <v>15397882.07</v>
      </c>
      <c r="J15" s="47">
        <f t="shared" si="1"/>
        <v>0</v>
      </c>
      <c r="K15" s="51">
        <f t="shared" si="3"/>
        <v>1924735.25875</v>
      </c>
      <c r="L15" s="45">
        <f t="shared" si="5"/>
        <v>9.4782300095898826</v>
      </c>
      <c r="M15" s="43">
        <f t="shared" si="4"/>
        <v>0</v>
      </c>
      <c r="N15" s="46">
        <f t="shared" si="2"/>
        <v>0</v>
      </c>
      <c r="O15" s="46">
        <f>เม.ย.63!N15</f>
        <v>0</v>
      </c>
      <c r="P15" s="100">
        <v>11055900.59</v>
      </c>
      <c r="Q15" s="53">
        <v>8158660.1100000003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3.55</v>
      </c>
      <c r="E16" s="57">
        <v>2.69</v>
      </c>
      <c r="F16" s="57">
        <v>2.36</v>
      </c>
      <c r="G16" s="47">
        <f t="shared" si="0"/>
        <v>0</v>
      </c>
      <c r="H16" s="53">
        <v>65259731.590000004</v>
      </c>
      <c r="I16" s="53">
        <v>24149763.460000001</v>
      </c>
      <c r="J16" s="47">
        <f t="shared" si="1"/>
        <v>0</v>
      </c>
      <c r="K16" s="51">
        <f t="shared" si="3"/>
        <v>3018720.4325000001</v>
      </c>
      <c r="L16" s="45">
        <f t="shared" si="5"/>
        <v>21.61834229079443</v>
      </c>
      <c r="M16" s="43">
        <f t="shared" si="4"/>
        <v>0</v>
      </c>
      <c r="N16" s="46">
        <f t="shared" si="2"/>
        <v>0</v>
      </c>
      <c r="O16" s="46">
        <f>เม.ย.63!N16</f>
        <v>0</v>
      </c>
      <c r="P16" s="100">
        <v>19515074.100000001</v>
      </c>
      <c r="Q16" s="53">
        <v>34829298.490000002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1.82</v>
      </c>
      <c r="E17" s="57">
        <v>1.59</v>
      </c>
      <c r="F17" s="57">
        <v>1.42</v>
      </c>
      <c r="G17" s="47">
        <f t="shared" si="0"/>
        <v>0</v>
      </c>
      <c r="H17" s="53">
        <v>5711071.7000000002</v>
      </c>
      <c r="I17" s="53">
        <v>2826983.27</v>
      </c>
      <c r="J17" s="47">
        <f t="shared" si="1"/>
        <v>0</v>
      </c>
      <c r="K17" s="51">
        <f t="shared" si="3"/>
        <v>353372.90875</v>
      </c>
      <c r="L17" s="45">
        <f t="shared" si="5"/>
        <v>16.161600277174614</v>
      </c>
      <c r="M17" s="43">
        <f t="shared" si="4"/>
        <v>0</v>
      </c>
      <c r="N17" s="46">
        <f t="shared" si="2"/>
        <v>0</v>
      </c>
      <c r="O17" s="46">
        <f>เม.ย.63!N17</f>
        <v>0</v>
      </c>
      <c r="P17" s="100">
        <v>4015670.74</v>
      </c>
      <c r="Q17" s="53">
        <v>2976906.76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57">
        <v>1.31</v>
      </c>
      <c r="E18" s="57">
        <v>1.1100000000000001</v>
      </c>
      <c r="F18" s="57">
        <v>0.77</v>
      </c>
      <c r="G18" s="42">
        <f t="shared" si="0"/>
        <v>2</v>
      </c>
      <c r="H18" s="53">
        <v>7252404.8499999996</v>
      </c>
      <c r="I18" s="53">
        <v>1561596.78</v>
      </c>
      <c r="J18" s="47">
        <f t="shared" si="1"/>
        <v>0</v>
      </c>
      <c r="K18" s="51">
        <f t="shared" si="3"/>
        <v>195199.5975</v>
      </c>
      <c r="L18" s="45">
        <f t="shared" si="5"/>
        <v>37.153789981559768</v>
      </c>
      <c r="M18" s="43">
        <f t="shared" si="4"/>
        <v>0</v>
      </c>
      <c r="N18" s="46">
        <f t="shared" si="2"/>
        <v>2</v>
      </c>
      <c r="O18" s="46">
        <f>เม.ย.63!N18</f>
        <v>1</v>
      </c>
      <c r="P18" s="100">
        <v>6675373.6399999997</v>
      </c>
      <c r="Q18" s="68">
        <v>-5458703.5099999998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57">
        <v>1.1100000000000001</v>
      </c>
      <c r="E19" s="57">
        <v>0.97</v>
      </c>
      <c r="F19" s="57">
        <v>0.53</v>
      </c>
      <c r="G19" s="42">
        <f t="shared" si="0"/>
        <v>3</v>
      </c>
      <c r="H19" s="53">
        <v>1771122.51</v>
      </c>
      <c r="I19" s="53">
        <v>11139842.529999999</v>
      </c>
      <c r="J19" s="47">
        <f t="shared" si="1"/>
        <v>0</v>
      </c>
      <c r="K19" s="51">
        <f t="shared" si="3"/>
        <v>1392480.3162499999</v>
      </c>
      <c r="L19" s="45">
        <f t="shared" si="5"/>
        <v>1.2719192431887993</v>
      </c>
      <c r="M19" s="43">
        <f t="shared" si="4"/>
        <v>0</v>
      </c>
      <c r="N19" s="46">
        <f t="shared" si="2"/>
        <v>3</v>
      </c>
      <c r="O19" s="46">
        <f>เม.ย.63!N19</f>
        <v>1</v>
      </c>
      <c r="P19" s="100">
        <v>13331843.49</v>
      </c>
      <c r="Q19" s="68">
        <v>-7412045.1500000004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1.38</v>
      </c>
      <c r="E20" s="57">
        <v>1.17</v>
      </c>
      <c r="F20" s="57">
        <v>0.93</v>
      </c>
      <c r="G20" s="42">
        <f t="shared" si="0"/>
        <v>1</v>
      </c>
      <c r="H20" s="53">
        <v>3735101.09</v>
      </c>
      <c r="I20" s="68">
        <v>-2310479.79</v>
      </c>
      <c r="J20" s="42">
        <f t="shared" si="1"/>
        <v>1</v>
      </c>
      <c r="K20" s="59">
        <f t="shared" si="3"/>
        <v>-288809.97375</v>
      </c>
      <c r="L20" s="45">
        <f t="shared" si="5"/>
        <v>-12.932728885717713</v>
      </c>
      <c r="M20" s="43">
        <f t="shared" si="4"/>
        <v>0</v>
      </c>
      <c r="N20" s="46">
        <f t="shared" si="2"/>
        <v>2</v>
      </c>
      <c r="O20" s="46">
        <f>เม.ย.63!N20</f>
        <v>1</v>
      </c>
      <c r="P20" s="68">
        <v>-597874.78</v>
      </c>
      <c r="Q20" s="68">
        <v>-681823.76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3" priority="2" operator="lessThan">
      <formula>1.5</formula>
    </cfRule>
    <cfRule type="cellIs" dxfId="12" priority="4" operator="lessThan">
      <formula>1.5</formula>
    </cfRule>
  </conditionalFormatting>
  <conditionalFormatting sqref="E5:E20">
    <cfRule type="cellIs" dxfId="11" priority="3" operator="lessThan">
      <formula>1</formula>
    </cfRule>
  </conditionalFormatting>
  <conditionalFormatting sqref="F5:F20">
    <cfRule type="cellIs" dxfId="1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80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3" t="s">
        <v>53</v>
      </c>
      <c r="P1" s="92">
        <v>242353</v>
      </c>
      <c r="Q1" s="41"/>
    </row>
    <row r="2" spans="1:25" ht="54.75" customHeight="1" thickBot="1">
      <c r="C2" s="139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81</v>
      </c>
      <c r="O2" s="154" t="s">
        <v>82</v>
      </c>
      <c r="P2" s="151" t="s">
        <v>92</v>
      </c>
      <c r="Q2" s="145" t="s">
        <v>37</v>
      </c>
    </row>
    <row r="3" spans="1:25" ht="38.25" customHeight="1" thickBot="1">
      <c r="C3" s="139"/>
      <c r="D3" s="146" t="s">
        <v>36</v>
      </c>
      <c r="E3" s="146" t="s">
        <v>35</v>
      </c>
      <c r="F3" s="146" t="s">
        <v>34</v>
      </c>
      <c r="G3" s="147" t="s">
        <v>29</v>
      </c>
      <c r="H3" s="148" t="s">
        <v>33</v>
      </c>
      <c r="I3" s="139" t="s">
        <v>32</v>
      </c>
      <c r="J3" s="149" t="s">
        <v>29</v>
      </c>
      <c r="K3" s="150" t="s">
        <v>31</v>
      </c>
      <c r="L3" s="139" t="s">
        <v>30</v>
      </c>
      <c r="M3" s="144" t="s">
        <v>29</v>
      </c>
      <c r="N3" s="143"/>
      <c r="O3" s="154"/>
      <c r="P3" s="152"/>
      <c r="Q3" s="145"/>
    </row>
    <row r="4" spans="1:25" ht="36.75" customHeight="1" thickBot="1">
      <c r="C4" s="139"/>
      <c r="D4" s="146"/>
      <c r="E4" s="146"/>
      <c r="F4" s="146"/>
      <c r="G4" s="147"/>
      <c r="H4" s="148"/>
      <c r="I4" s="139"/>
      <c r="J4" s="149"/>
      <c r="K4" s="150"/>
      <c r="L4" s="139"/>
      <c r="M4" s="144"/>
      <c r="N4" s="143"/>
      <c r="O4" s="154"/>
      <c r="P4" s="153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3.15</v>
      </c>
      <c r="E5" s="47">
        <v>2.92</v>
      </c>
      <c r="F5" s="47">
        <v>0.89</v>
      </c>
      <c r="G5" s="47">
        <f t="shared" ref="G5:G20" si="0">(IF(D5&lt;1.5,1,0))+(IF(E5&lt;1,1,0))+(IF(F5&lt;0.8,1,0))</f>
        <v>0</v>
      </c>
      <c r="H5" s="108">
        <v>490332335.82999998</v>
      </c>
      <c r="I5" s="108">
        <v>11628422.82</v>
      </c>
      <c r="J5" s="47">
        <f t="shared" ref="J5:J20" si="1">IF(I5&lt;0,1,0)+IF(H5&lt;0,1,0)</f>
        <v>0</v>
      </c>
      <c r="K5" s="51">
        <f>SUM(I5/9)</f>
        <v>1292046.98</v>
      </c>
      <c r="L5" s="45">
        <f>+H5/K5</f>
        <v>379.50039233867489</v>
      </c>
      <c r="M5" s="43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0</v>
      </c>
      <c r="O5" s="46">
        <f>พ.ค.63!N5</f>
        <v>0</v>
      </c>
      <c r="P5" s="107">
        <v>63898463.630000003</v>
      </c>
      <c r="Q5" s="109">
        <v>-24807360.170000002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0.77</v>
      </c>
      <c r="E6" s="98">
        <v>0.7</v>
      </c>
      <c r="F6" s="42">
        <v>0.49</v>
      </c>
      <c r="G6" s="55">
        <f t="shared" si="0"/>
        <v>3</v>
      </c>
      <c r="H6" s="109">
        <v>-38368330.439999998</v>
      </c>
      <c r="I6" s="108">
        <v>1692886.4</v>
      </c>
      <c r="J6" s="55">
        <f>IF(I6&lt;0,1,0)+IF(H6&lt;0,1,0)</f>
        <v>1</v>
      </c>
      <c r="K6" s="51">
        <f t="shared" ref="K6:K20" si="3">SUM(I6/9)</f>
        <v>188098.48888888888</v>
      </c>
      <c r="L6" s="45">
        <f>+H6/K6</f>
        <v>-203.98000359622478</v>
      </c>
      <c r="M6" s="42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2</v>
      </c>
      <c r="N6" s="46">
        <f>SUM(G6+J6+M6)</f>
        <v>6</v>
      </c>
      <c r="O6" s="46">
        <f>พ.ค.63!N6</f>
        <v>6</v>
      </c>
      <c r="P6" s="107">
        <v>29465620.77</v>
      </c>
      <c r="Q6" s="109">
        <v>-84155416.790000007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1.1499999999999999</v>
      </c>
      <c r="E7" s="42">
        <v>0.94</v>
      </c>
      <c r="F7" s="42">
        <v>0.67</v>
      </c>
      <c r="G7" s="42">
        <f t="shared" si="0"/>
        <v>3</v>
      </c>
      <c r="H7" s="108">
        <v>4610354.6100000003</v>
      </c>
      <c r="I7" s="108">
        <v>2457023.08</v>
      </c>
      <c r="J7" s="47">
        <f t="shared" si="1"/>
        <v>0</v>
      </c>
      <c r="K7" s="51">
        <f t="shared" si="3"/>
        <v>273002.56444444443</v>
      </c>
      <c r="L7" s="45">
        <f t="shared" ref="L7:L20" si="5">+H7/K7</f>
        <v>16.887587189453672</v>
      </c>
      <c r="M7" s="43">
        <f t="shared" si="4"/>
        <v>0</v>
      </c>
      <c r="N7" s="46">
        <f t="shared" si="2"/>
        <v>3</v>
      </c>
      <c r="O7" s="46">
        <f>พ.ค.63!N7</f>
        <v>2</v>
      </c>
      <c r="P7" s="107">
        <v>3578407.29</v>
      </c>
      <c r="Q7" s="109">
        <v>-10493060.67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1.82</v>
      </c>
      <c r="E8" s="47">
        <v>1.54</v>
      </c>
      <c r="F8" s="47">
        <v>1.1599999999999999</v>
      </c>
      <c r="G8" s="66">
        <f t="shared" si="0"/>
        <v>0</v>
      </c>
      <c r="H8" s="108">
        <v>10898523.26</v>
      </c>
      <c r="I8" s="109">
        <v>-4967971.1399999997</v>
      </c>
      <c r="J8" s="55">
        <f t="shared" si="1"/>
        <v>1</v>
      </c>
      <c r="K8" s="59">
        <f t="shared" si="3"/>
        <v>-551996.79333333333</v>
      </c>
      <c r="L8" s="45">
        <f t="shared" si="5"/>
        <v>-19.743816253328717</v>
      </c>
      <c r="M8" s="43">
        <f t="shared" si="4"/>
        <v>0</v>
      </c>
      <c r="N8" s="46">
        <f t="shared" si="2"/>
        <v>1</v>
      </c>
      <c r="O8" s="46">
        <f>พ.ค.63!N8</f>
        <v>1</v>
      </c>
      <c r="P8" s="107">
        <v>2704891.46</v>
      </c>
      <c r="Q8" s="108">
        <v>2056382.75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1.57</v>
      </c>
      <c r="E9" s="47">
        <v>1.34</v>
      </c>
      <c r="F9" s="47">
        <v>1.1499999999999999</v>
      </c>
      <c r="G9" s="47">
        <f t="shared" si="0"/>
        <v>0</v>
      </c>
      <c r="H9" s="108">
        <v>11811198.439999999</v>
      </c>
      <c r="I9" s="108">
        <v>2811492.97</v>
      </c>
      <c r="J9" s="47">
        <f t="shared" si="1"/>
        <v>0</v>
      </c>
      <c r="K9" s="51">
        <f t="shared" si="3"/>
        <v>312388.10777777783</v>
      </c>
      <c r="L9" s="45">
        <f t="shared" si="5"/>
        <v>37.809372847195839</v>
      </c>
      <c r="M9" s="43">
        <f t="shared" si="4"/>
        <v>0</v>
      </c>
      <c r="N9" s="46">
        <f t="shared" si="2"/>
        <v>0</v>
      </c>
      <c r="O9" s="46">
        <f>พ.ค.63!N9</f>
        <v>0</v>
      </c>
      <c r="P9" s="107">
        <v>6691791.7599999998</v>
      </c>
      <c r="Q9" s="108">
        <v>3082410.31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1.24</v>
      </c>
      <c r="E10" s="47">
        <v>1.1299999999999999</v>
      </c>
      <c r="F10" s="47">
        <v>0.94</v>
      </c>
      <c r="G10" s="42">
        <f t="shared" si="0"/>
        <v>1</v>
      </c>
      <c r="H10" s="108">
        <v>4914590.03</v>
      </c>
      <c r="I10" s="108">
        <v>1557458.03</v>
      </c>
      <c r="J10" s="47">
        <f t="shared" si="1"/>
        <v>0</v>
      </c>
      <c r="K10" s="51">
        <f t="shared" si="3"/>
        <v>173050.89222222223</v>
      </c>
      <c r="L10" s="45">
        <f t="shared" si="5"/>
        <v>28.399680388177138</v>
      </c>
      <c r="M10" s="43">
        <f t="shared" si="4"/>
        <v>0</v>
      </c>
      <c r="N10" s="46">
        <f t="shared" si="2"/>
        <v>1</v>
      </c>
      <c r="O10" s="46">
        <f>พ.ค.63!N10</f>
        <v>1</v>
      </c>
      <c r="P10" s="107">
        <v>2511330.04</v>
      </c>
      <c r="Q10" s="109">
        <v>-1341584.02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1.23</v>
      </c>
      <c r="E11" s="47">
        <v>1.07</v>
      </c>
      <c r="F11" s="42">
        <v>0.73</v>
      </c>
      <c r="G11" s="42">
        <f t="shared" si="0"/>
        <v>2</v>
      </c>
      <c r="H11" s="108">
        <v>13716595.560000001</v>
      </c>
      <c r="I11" s="108">
        <v>21497592.649999999</v>
      </c>
      <c r="J11" s="47">
        <f t="shared" si="1"/>
        <v>0</v>
      </c>
      <c r="K11" s="51">
        <f t="shared" si="3"/>
        <v>2388621.4055555556</v>
      </c>
      <c r="L11" s="45">
        <f t="shared" si="5"/>
        <v>5.7424736829777077</v>
      </c>
      <c r="M11" s="43">
        <f t="shared" si="4"/>
        <v>0</v>
      </c>
      <c r="N11" s="46">
        <f t="shared" si="2"/>
        <v>2</v>
      </c>
      <c r="O11" s="46">
        <f>พ.ค.63!N11</f>
        <v>1</v>
      </c>
      <c r="P11" s="107">
        <v>21363436.43</v>
      </c>
      <c r="Q11" s="109">
        <v>-16825159.73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1.37</v>
      </c>
      <c r="E12" s="47">
        <v>1.1499999999999999</v>
      </c>
      <c r="F12" s="47">
        <v>0.86</v>
      </c>
      <c r="G12" s="42">
        <f t="shared" si="0"/>
        <v>1</v>
      </c>
      <c r="H12" s="108">
        <v>10974213.9</v>
      </c>
      <c r="I12" s="108">
        <v>6714099.2400000002</v>
      </c>
      <c r="J12" s="47">
        <f t="shared" si="1"/>
        <v>0</v>
      </c>
      <c r="K12" s="51">
        <f t="shared" si="3"/>
        <v>746011.02666666673</v>
      </c>
      <c r="L12" s="45">
        <f t="shared" si="5"/>
        <v>14.710525056224816</v>
      </c>
      <c r="M12" s="43">
        <f t="shared" si="4"/>
        <v>0</v>
      </c>
      <c r="N12" s="46">
        <f t="shared" si="2"/>
        <v>1</v>
      </c>
      <c r="O12" s="46">
        <f>พ.ค.63!N12</f>
        <v>1</v>
      </c>
      <c r="P12" s="107">
        <v>7204189.4900000002</v>
      </c>
      <c r="Q12" s="109">
        <v>-4197912.05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1.26</v>
      </c>
      <c r="E13" s="47">
        <v>1.18</v>
      </c>
      <c r="F13" s="47">
        <v>1.02</v>
      </c>
      <c r="G13" s="42">
        <f t="shared" si="0"/>
        <v>1</v>
      </c>
      <c r="H13" s="108">
        <v>8013722.5199999996</v>
      </c>
      <c r="I13" s="108">
        <v>2994898.79</v>
      </c>
      <c r="J13" s="47">
        <f t="shared" si="1"/>
        <v>0</v>
      </c>
      <c r="K13" s="51">
        <f t="shared" si="3"/>
        <v>332766.53222222225</v>
      </c>
      <c r="L13" s="45">
        <f t="shared" si="5"/>
        <v>24.082116871802533</v>
      </c>
      <c r="M13" s="43">
        <f t="shared" si="4"/>
        <v>0</v>
      </c>
      <c r="N13" s="46">
        <f t="shared" si="2"/>
        <v>1</v>
      </c>
      <c r="O13" s="46">
        <f>พ.ค.63!N13</f>
        <v>1</v>
      </c>
      <c r="P13" s="107">
        <v>6217988.2999999998</v>
      </c>
      <c r="Q13" s="108">
        <v>652532.47999999998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</v>
      </c>
      <c r="E14" s="47">
        <v>1.82</v>
      </c>
      <c r="F14" s="47">
        <v>1.38</v>
      </c>
      <c r="G14" s="47">
        <f t="shared" si="0"/>
        <v>0</v>
      </c>
      <c r="H14" s="108">
        <v>17957258.030000001</v>
      </c>
      <c r="I14" s="108">
        <v>8326789.5</v>
      </c>
      <c r="J14" s="47">
        <f t="shared" si="1"/>
        <v>0</v>
      </c>
      <c r="K14" s="51">
        <f t="shared" si="3"/>
        <v>925198.83333333337</v>
      </c>
      <c r="L14" s="45">
        <f t="shared" si="5"/>
        <v>19.409079846440218</v>
      </c>
      <c r="M14" s="43">
        <f t="shared" si="4"/>
        <v>0</v>
      </c>
      <c r="N14" s="46">
        <f t="shared" si="2"/>
        <v>0</v>
      </c>
      <c r="O14" s="46">
        <f>พ.ค.63!N14</f>
        <v>0</v>
      </c>
      <c r="P14" s="107">
        <v>9136539.6099999994</v>
      </c>
      <c r="Q14" s="108">
        <v>6782363.0300000003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1.99</v>
      </c>
      <c r="E15" s="47">
        <v>1.71</v>
      </c>
      <c r="F15" s="47">
        <v>1.41</v>
      </c>
      <c r="G15" s="47">
        <f t="shared" si="0"/>
        <v>0</v>
      </c>
      <c r="H15" s="108">
        <v>17060702.57</v>
      </c>
      <c r="I15" s="108">
        <v>16526800.359999999</v>
      </c>
      <c r="J15" s="47">
        <f t="shared" si="1"/>
        <v>0</v>
      </c>
      <c r="K15" s="51">
        <f t="shared" si="3"/>
        <v>1836311.151111111</v>
      </c>
      <c r="L15" s="45">
        <f t="shared" si="5"/>
        <v>9.2907471370943586</v>
      </c>
      <c r="M15" s="43">
        <f t="shared" si="4"/>
        <v>0</v>
      </c>
      <c r="N15" s="46">
        <f t="shared" si="2"/>
        <v>0</v>
      </c>
      <c r="O15" s="46">
        <f>พ.ค.63!N15</f>
        <v>0</v>
      </c>
      <c r="P15" s="107">
        <v>10007393.789999999</v>
      </c>
      <c r="Q15" s="108">
        <v>7103575.5099999998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3.28</v>
      </c>
      <c r="E16" s="47">
        <v>2.5499999999999998</v>
      </c>
      <c r="F16" s="47">
        <v>2.23</v>
      </c>
      <c r="G16" s="47">
        <f t="shared" si="0"/>
        <v>0</v>
      </c>
      <c r="H16" s="108">
        <v>58606677</v>
      </c>
      <c r="I16" s="108">
        <v>18835425.539999999</v>
      </c>
      <c r="J16" s="47">
        <f t="shared" si="1"/>
        <v>0</v>
      </c>
      <c r="K16" s="51">
        <f t="shared" si="3"/>
        <v>2092825.0599999998</v>
      </c>
      <c r="L16" s="45">
        <f t="shared" si="5"/>
        <v>28.003619662314254</v>
      </c>
      <c r="M16" s="43">
        <f t="shared" si="4"/>
        <v>0</v>
      </c>
      <c r="N16" s="46">
        <f t="shared" si="2"/>
        <v>0</v>
      </c>
      <c r="O16" s="46">
        <f>พ.ค.63!N16</f>
        <v>0</v>
      </c>
      <c r="P16" s="107">
        <v>15438156</v>
      </c>
      <c r="Q16" s="108">
        <v>31679436.370000001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1.65</v>
      </c>
      <c r="E17" s="47">
        <v>1.42</v>
      </c>
      <c r="F17" s="47">
        <v>1.27</v>
      </c>
      <c r="G17" s="47">
        <f t="shared" si="0"/>
        <v>0</v>
      </c>
      <c r="H17" s="108">
        <v>4646973.6399999997</v>
      </c>
      <c r="I17" s="108">
        <v>1432073.64</v>
      </c>
      <c r="J17" s="47">
        <f t="shared" si="1"/>
        <v>0</v>
      </c>
      <c r="K17" s="51">
        <f t="shared" si="3"/>
        <v>159119.29333333333</v>
      </c>
      <c r="L17" s="45">
        <f t="shared" si="5"/>
        <v>29.204338095351016</v>
      </c>
      <c r="M17" s="43">
        <f t="shared" si="4"/>
        <v>0</v>
      </c>
      <c r="N17" s="46">
        <f t="shared" si="2"/>
        <v>0</v>
      </c>
      <c r="O17" s="46">
        <f>พ.ค.63!N17</f>
        <v>0</v>
      </c>
      <c r="P17" s="107">
        <v>2858222.68</v>
      </c>
      <c r="Q17" s="108">
        <v>1945971.47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1.29</v>
      </c>
      <c r="E18" s="57">
        <v>1.1000000000000001</v>
      </c>
      <c r="F18" s="42">
        <v>0.72</v>
      </c>
      <c r="G18" s="42">
        <f t="shared" si="0"/>
        <v>2</v>
      </c>
      <c r="H18" s="108">
        <v>5948531.8600000003</v>
      </c>
      <c r="I18" s="109">
        <v>-245981.85</v>
      </c>
      <c r="J18" s="42">
        <f t="shared" si="1"/>
        <v>1</v>
      </c>
      <c r="K18" s="59">
        <f t="shared" si="3"/>
        <v>-27331.316666666666</v>
      </c>
      <c r="L18" s="45">
        <f t="shared" si="5"/>
        <v>-217.64527236460742</v>
      </c>
      <c r="M18" s="43">
        <f t="shared" si="4"/>
        <v>0</v>
      </c>
      <c r="N18" s="46">
        <f t="shared" si="2"/>
        <v>3</v>
      </c>
      <c r="O18" s="46">
        <f>พ.ค.63!N18</f>
        <v>2</v>
      </c>
      <c r="P18" s="107">
        <v>5465937.8600000003</v>
      </c>
      <c r="Q18" s="109">
        <v>-5872281.9400000004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0.74</v>
      </c>
      <c r="E19" s="98">
        <v>0.6</v>
      </c>
      <c r="F19" s="42">
        <v>0.31</v>
      </c>
      <c r="G19" s="42">
        <f t="shared" si="0"/>
        <v>3</v>
      </c>
      <c r="H19" s="109">
        <v>-4218769.83</v>
      </c>
      <c r="I19" s="108">
        <v>5153842.9000000004</v>
      </c>
      <c r="J19" s="42">
        <f t="shared" si="1"/>
        <v>1</v>
      </c>
      <c r="K19" s="51">
        <f t="shared" si="3"/>
        <v>572649.2111111111</v>
      </c>
      <c r="L19" s="45">
        <f t="shared" si="5"/>
        <v>-7.3671101752053794</v>
      </c>
      <c r="M19" s="42">
        <f t="shared" si="4"/>
        <v>2</v>
      </c>
      <c r="N19" s="46">
        <f t="shared" si="2"/>
        <v>6</v>
      </c>
      <c r="O19" s="46">
        <f>พ.ค.63!N19</f>
        <v>3</v>
      </c>
      <c r="P19" s="107">
        <v>7724254.1500000004</v>
      </c>
      <c r="Q19" s="109">
        <v>-11132329.76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2">
        <v>1.39</v>
      </c>
      <c r="E20" s="47">
        <v>1.17</v>
      </c>
      <c r="F20" s="47">
        <v>0.95</v>
      </c>
      <c r="G20" s="42">
        <f t="shared" si="0"/>
        <v>1</v>
      </c>
      <c r="H20" s="108">
        <v>3534018.79</v>
      </c>
      <c r="I20" s="109">
        <v>-2710187.21</v>
      </c>
      <c r="J20" s="42">
        <f t="shared" si="1"/>
        <v>1</v>
      </c>
      <c r="K20" s="59">
        <f t="shared" si="3"/>
        <v>-301131.91222222219</v>
      </c>
      <c r="L20" s="45">
        <f t="shared" si="5"/>
        <v>-11.735783045777124</v>
      </c>
      <c r="M20" s="43">
        <f t="shared" si="4"/>
        <v>0</v>
      </c>
      <c r="N20" s="46">
        <f t="shared" si="2"/>
        <v>2</v>
      </c>
      <c r="O20" s="46">
        <f>พ.ค.63!N20</f>
        <v>2</v>
      </c>
      <c r="P20" s="109">
        <v>-670742.53</v>
      </c>
      <c r="Q20" s="109">
        <v>-516939.84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5" t="s">
        <v>5</v>
      </c>
      <c r="M23" s="135"/>
      <c r="N23" s="13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5"/>
      <c r="M24" s="135"/>
      <c r="N24" s="13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5" t="s">
        <v>5</v>
      </c>
      <c r="M25" s="135"/>
      <c r="N25" s="13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5"/>
      <c r="M26" s="135"/>
      <c r="N26" s="13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6" t="s">
        <v>5</v>
      </c>
      <c r="L27" s="136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5" t="s">
        <v>5</v>
      </c>
      <c r="M30" s="135"/>
      <c r="N30" s="13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5"/>
      <c r="M31" s="135"/>
      <c r="N31" s="13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  <vt:lpstr>รวมมหาราช</vt:lpstr>
      <vt:lpstr>รวมบ้านแพรก</vt:lpstr>
      <vt:lpstr>รวมบางบาล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2020-08-17T04:18:43Z</cp:lastPrinted>
  <dcterms:created xsi:type="dcterms:W3CDTF">2017-12-26T02:45:48Z</dcterms:created>
  <dcterms:modified xsi:type="dcterms:W3CDTF">2020-08-17T04:19:48Z</dcterms:modified>
</cp:coreProperties>
</file>